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O:\FA_US\Analyse og politik\Sagsområder\AU i tal\2020\enkelt tabeller\"/>
    </mc:Choice>
  </mc:AlternateContent>
  <bookViews>
    <workbookView xWindow="0" yWindow="0" windowWidth="28800" windowHeight="13800"/>
  </bookViews>
  <sheets>
    <sheet name="d3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27" i="1" l="1"/>
  <c r="F27" i="1"/>
  <c r="E27" i="1"/>
  <c r="D27" i="1"/>
  <c r="C27" i="1"/>
  <c r="B27" i="1"/>
  <c r="I26" i="1"/>
  <c r="I25" i="1"/>
  <c r="I24" i="1"/>
  <c r="I23" i="1"/>
  <c r="I27" i="1" s="1"/>
  <c r="H21" i="1"/>
  <c r="G21" i="1"/>
  <c r="D21" i="1"/>
  <c r="C21" i="1"/>
  <c r="B21" i="1"/>
  <c r="I18" i="1"/>
  <c r="I17" i="1"/>
  <c r="I21" i="1" s="1"/>
  <c r="H15" i="1"/>
  <c r="D15" i="1"/>
  <c r="B15" i="1"/>
  <c r="G14" i="1"/>
  <c r="D14" i="1"/>
  <c r="C14" i="1"/>
  <c r="B14" i="1"/>
  <c r="I14" i="1" s="1"/>
  <c r="H13" i="1"/>
  <c r="G13" i="1"/>
  <c r="D13" i="1"/>
  <c r="C13" i="1"/>
  <c r="I13" i="1" s="1"/>
  <c r="B13" i="1"/>
  <c r="H12" i="1"/>
  <c r="G12" i="1"/>
  <c r="D12" i="1"/>
  <c r="C12" i="1"/>
  <c r="I12" i="1" s="1"/>
  <c r="B12" i="1"/>
  <c r="H11" i="1"/>
  <c r="G11" i="1"/>
  <c r="G15" i="1" s="1"/>
  <c r="D11" i="1"/>
  <c r="C11" i="1"/>
  <c r="I11" i="1" s="1"/>
  <c r="B11" i="1"/>
  <c r="H8" i="1"/>
  <c r="G8" i="1"/>
  <c r="D8" i="1"/>
  <c r="C8" i="1"/>
  <c r="I8" i="1" s="1"/>
  <c r="B8" i="1"/>
  <c r="H7" i="1"/>
  <c r="G7" i="1"/>
  <c r="D7" i="1"/>
  <c r="C7" i="1"/>
  <c r="I7" i="1" s="1"/>
  <c r="B7" i="1"/>
  <c r="H6" i="1"/>
  <c r="G6" i="1"/>
  <c r="D6" i="1"/>
  <c r="C6" i="1"/>
  <c r="I6" i="1" s="1"/>
  <c r="B6" i="1"/>
  <c r="H5" i="1"/>
  <c r="H9" i="1" s="1"/>
  <c r="G5" i="1"/>
  <c r="G9" i="1" s="1"/>
  <c r="D5" i="1"/>
  <c r="D9" i="1" s="1"/>
  <c r="C5" i="1"/>
  <c r="C9" i="1" s="1"/>
  <c r="B5" i="1"/>
  <c r="B9" i="1" s="1"/>
  <c r="I15" i="1" l="1"/>
  <c r="I5" i="1"/>
  <c r="I9" i="1" s="1"/>
  <c r="C15" i="1"/>
</calcChain>
</file>

<file path=xl/sharedStrings.xml><?xml version="1.0" encoding="utf-8"?>
<sst xmlns="http://schemas.openxmlformats.org/spreadsheetml/2006/main" count="70" uniqueCount="16">
  <si>
    <t>D3. Eksterne forskningsmidler fordelt på finansieringskilde og fakultet 2017-2020</t>
  </si>
  <si>
    <t>Mio. kr. årets priser</t>
  </si>
  <si>
    <t>Arts</t>
  </si>
  <si>
    <t>Aarhus BSS</t>
  </si>
  <si>
    <t>Health</t>
  </si>
  <si>
    <t>Natural Sciences</t>
  </si>
  <si>
    <t>Technical Sciences</t>
  </si>
  <si>
    <t>Science and Technology</t>
  </si>
  <si>
    <t>Fælles-området</t>
  </si>
  <si>
    <t>I alt</t>
  </si>
  <si>
    <t>Danske offentlige kilder</t>
  </si>
  <si>
    <t>-</t>
  </si>
  <si>
    <t>Danske private kilder</t>
  </si>
  <si>
    <t>EU</t>
  </si>
  <si>
    <t>Øvrige udenlandske kilder</t>
  </si>
  <si>
    <t>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</si>
</sst>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 * #,##0.00_ ;_ * \-#,##0.00_ ;_ * &quot;-&quot;??_ ;_ @_ "/>
    <numFmt numFmtId="165" formatCode="_ * #,##0_ ;_ * \-#,##0_ ;_ * &quot;-&quot;??_ ;_ @_ "/>
    <numFmt numFmtId="166" formatCode="#,##0,,"/>
    <numFmt numFmtId="167" formatCode="#,###,,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E4E6EC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theme="0"/>
      </right>
      <top style="thin">
        <color auto="1"/>
      </top>
      <bottom style="thin">
        <color auto="1"/>
      </bottom>
      <diagonal/>
    </border>
    <border>
      <left style="thin">
        <color theme="0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">
    <xf numFmtId="0" fontId="0" fillId="0" borderId="0" xfId="0"/>
    <xf numFmtId="0" fontId="3" fillId="0" borderId="0" xfId="0" applyFont="1"/>
    <xf numFmtId="0" fontId="4" fillId="0" borderId="0" xfId="0" applyFont="1" applyAlignment="1">
      <alignment horizontal="left"/>
    </xf>
    <xf numFmtId="0" fontId="0" fillId="0" borderId="0" xfId="0" applyAlignment="1">
      <alignment wrapText="1"/>
    </xf>
    <xf numFmtId="0" fontId="2" fillId="2" borderId="1" xfId="0" applyFont="1" applyFill="1" applyBorder="1" applyAlignment="1">
      <alignment horizontal="left" vertical="center" wrapText="1"/>
    </xf>
    <xf numFmtId="165" fontId="2" fillId="2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165" fontId="2" fillId="2" borderId="3" xfId="1" applyNumberFormat="1" applyFont="1" applyFill="1" applyBorder="1" applyAlignment="1">
      <alignment horizontal="right" vertical="center" wrapText="1"/>
    </xf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0" fillId="0" borderId="7" xfId="0" applyBorder="1" applyAlignment="1">
      <alignment horizontal="left"/>
    </xf>
    <xf numFmtId="165" fontId="0" fillId="0" borderId="7" xfId="1" applyNumberFormat="1" applyFont="1" applyBorder="1"/>
    <xf numFmtId="165" fontId="0" fillId="0" borderId="7" xfId="1" quotePrefix="1" applyNumberFormat="1" applyFont="1" applyBorder="1" applyAlignment="1">
      <alignment horizontal="right"/>
    </xf>
    <xf numFmtId="0" fontId="3" fillId="4" borderId="7" xfId="0" applyFont="1" applyFill="1" applyBorder="1" applyAlignment="1">
      <alignment horizontal="left"/>
    </xf>
    <xf numFmtId="165" fontId="3" fillId="4" borderId="7" xfId="1" applyNumberFormat="1" applyFont="1" applyFill="1" applyBorder="1"/>
    <xf numFmtId="165" fontId="3" fillId="4" borderId="7" xfId="1" applyNumberFormat="1" applyFont="1" applyFill="1" applyBorder="1" applyAlignment="1">
      <alignment horizontal="right"/>
    </xf>
    <xf numFmtId="165" fontId="0" fillId="0" borderId="0" xfId="0" applyNumberFormat="1"/>
    <xf numFmtId="0" fontId="3" fillId="3" borderId="4" xfId="0" applyFont="1" applyFill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166" fontId="1" fillId="0" borderId="7" xfId="2" applyNumberFormat="1" applyFont="1" applyBorder="1"/>
    <xf numFmtId="165" fontId="1" fillId="0" borderId="7" xfId="1" quotePrefix="1" applyNumberFormat="1" applyFont="1" applyBorder="1" applyAlignment="1">
      <alignment horizontal="right"/>
    </xf>
    <xf numFmtId="167" fontId="3" fillId="4" borderId="7" xfId="1" applyNumberFormat="1" applyFont="1" applyFill="1" applyBorder="1"/>
    <xf numFmtId="167" fontId="3" fillId="4" borderId="7" xfId="1" applyNumberFormat="1" applyFont="1" applyFill="1" applyBorder="1" applyAlignment="1">
      <alignment horizontal="right"/>
    </xf>
    <xf numFmtId="0" fontId="0" fillId="0" borderId="0" xfId="0" applyAlignment="1">
      <alignment horizontal="left"/>
    </xf>
  </cellXfs>
  <cellStyles count="3">
    <cellStyle name="Komma" xfId="1" builtinId="3"/>
    <cellStyle name="Komma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7"/>
  <sheetViews>
    <sheetView tabSelected="1" view="pageLayout" zoomScaleNormal="100" workbookViewId="0">
      <selection activeCell="H6" sqref="H6"/>
    </sheetView>
  </sheetViews>
  <sheetFormatPr defaultColWidth="8.85546875" defaultRowHeight="15" x14ac:dyDescent="0.25"/>
  <cols>
    <col min="1" max="1" width="25.140625" style="25" customWidth="1"/>
    <col min="2" max="5" width="8.85546875" customWidth="1"/>
    <col min="6" max="6" width="9.42578125" customWidth="1"/>
    <col min="7" max="7" width="11" customWidth="1"/>
    <col min="8" max="9" width="8.85546875" customWidth="1"/>
  </cols>
  <sheetData>
    <row r="1" spans="1:11" s="1" customFormat="1" x14ac:dyDescent="0.25"/>
    <row r="2" spans="1:11" s="3" customFormat="1" ht="17.25" x14ac:dyDescent="0.3">
      <c r="A2" s="2" t="s">
        <v>0</v>
      </c>
      <c r="B2" s="1"/>
      <c r="C2" s="1"/>
      <c r="D2" s="1"/>
      <c r="E2" s="1"/>
      <c r="F2" s="1"/>
      <c r="G2" s="1"/>
      <c r="H2" s="1"/>
      <c r="I2" s="1"/>
    </row>
    <row r="3" spans="1:11" ht="45.75" customHeight="1" x14ac:dyDescent="0.25">
      <c r="A3" s="4" t="s">
        <v>1</v>
      </c>
      <c r="B3" s="5" t="s">
        <v>2</v>
      </c>
      <c r="C3" s="5" t="s">
        <v>3</v>
      </c>
      <c r="D3" s="5" t="s">
        <v>4</v>
      </c>
      <c r="E3" s="6" t="s">
        <v>5</v>
      </c>
      <c r="F3" s="6" t="s">
        <v>6</v>
      </c>
      <c r="G3" s="5" t="s">
        <v>7</v>
      </c>
      <c r="H3" s="5" t="s">
        <v>8</v>
      </c>
      <c r="I3" s="7" t="s">
        <v>9</v>
      </c>
    </row>
    <row r="4" spans="1:11" x14ac:dyDescent="0.25">
      <c r="A4" s="8">
        <v>2017</v>
      </c>
      <c r="B4" s="9"/>
      <c r="C4" s="9"/>
      <c r="D4" s="9"/>
      <c r="E4" s="9"/>
      <c r="F4" s="9"/>
      <c r="G4" s="9"/>
      <c r="H4" s="9"/>
      <c r="I4" s="10"/>
    </row>
    <row r="5" spans="1:11" x14ac:dyDescent="0.25">
      <c r="A5" s="11" t="s">
        <v>10</v>
      </c>
      <c r="B5" s="12">
        <f>104684855.6/1000000</f>
        <v>104.68485559999999</v>
      </c>
      <c r="C5" s="12">
        <f>92022118.67/1000000</f>
        <v>92.022118669999998</v>
      </c>
      <c r="D5" s="12">
        <f>123881697.81/1000000</f>
        <v>123.88169781000001</v>
      </c>
      <c r="E5" s="13" t="s">
        <v>11</v>
      </c>
      <c r="F5" s="13" t="s">
        <v>11</v>
      </c>
      <c r="G5" s="12">
        <f>664649166.289999/1000000</f>
        <v>664.64916628999902</v>
      </c>
      <c r="H5" s="12">
        <f>1171993.89/1000000</f>
        <v>1.17199389</v>
      </c>
      <c r="I5" s="12">
        <f>SUM(B5:H5)</f>
        <v>986.40983225999901</v>
      </c>
    </row>
    <row r="6" spans="1:11" x14ac:dyDescent="0.25">
      <c r="A6" s="11" t="s">
        <v>12</v>
      </c>
      <c r="B6" s="12">
        <f>62043507.15/1000000</f>
        <v>62.043507149999996</v>
      </c>
      <c r="C6" s="12">
        <f>54406715.17/1000000</f>
        <v>54.406715169999998</v>
      </c>
      <c r="D6" s="12">
        <f>172280160.27/1000000</f>
        <v>172.28016027000001</v>
      </c>
      <c r="E6" s="13" t="s">
        <v>11</v>
      </c>
      <c r="F6" s="13" t="s">
        <v>11</v>
      </c>
      <c r="G6" s="12">
        <f>216574307.79/1000000</f>
        <v>216.57430778999998</v>
      </c>
      <c r="H6" s="12">
        <f>-51186.49/1000000</f>
        <v>-5.1186490000000001E-2</v>
      </c>
      <c r="I6" s="12">
        <f>SUM(B6:H6)</f>
        <v>505.25350388999993</v>
      </c>
    </row>
    <row r="7" spans="1:11" x14ac:dyDescent="0.25">
      <c r="A7" s="11" t="s">
        <v>13</v>
      </c>
      <c r="B7" s="12">
        <f>20357812.33/1000000</f>
        <v>20.357812329999998</v>
      </c>
      <c r="C7" s="12">
        <f>16277872.95/1000000</f>
        <v>16.277872949999999</v>
      </c>
      <c r="D7" s="12">
        <f>18485218.76/1000000</f>
        <v>18.485218760000002</v>
      </c>
      <c r="E7" s="13" t="s">
        <v>11</v>
      </c>
      <c r="F7" s="13" t="s">
        <v>11</v>
      </c>
      <c r="G7" s="12">
        <f>120928291.58/1000000</f>
        <v>120.92829157999999</v>
      </c>
      <c r="H7" s="12">
        <f>21137820.48/1000000</f>
        <v>21.137820480000002</v>
      </c>
      <c r="I7" s="12">
        <f>SUM(B7:H7)</f>
        <v>197.18701609999999</v>
      </c>
    </row>
    <row r="8" spans="1:11" x14ac:dyDescent="0.25">
      <c r="A8" s="11" t="s">
        <v>14</v>
      </c>
      <c r="B8" s="12">
        <f>2606463.93/1000000</f>
        <v>2.6064639300000003</v>
      </c>
      <c r="C8" s="12">
        <f>9845304.73/1000000</f>
        <v>9.8453047300000005</v>
      </c>
      <c r="D8" s="12">
        <f>11647563.64/1000000</f>
        <v>11.647563640000001</v>
      </c>
      <c r="E8" s="13" t="s">
        <v>11</v>
      </c>
      <c r="F8" s="13" t="s">
        <v>11</v>
      </c>
      <c r="G8" s="12">
        <f>46924037.93/1000000</f>
        <v>46.924037929999997</v>
      </c>
      <c r="H8" s="12">
        <f>56516.65/1000000</f>
        <v>5.6516650000000002E-2</v>
      </c>
      <c r="I8" s="12">
        <f>SUM(B8:H8)</f>
        <v>71.079886880000004</v>
      </c>
    </row>
    <row r="9" spans="1:11" x14ac:dyDescent="0.25">
      <c r="A9" s="14" t="s">
        <v>9</v>
      </c>
      <c r="B9" s="15">
        <f t="shared" ref="B9:I9" si="0">SUM(B5:B8)</f>
        <v>189.69263900999997</v>
      </c>
      <c r="C9" s="15">
        <f>SUM(C5:C8)</f>
        <v>172.55201151999998</v>
      </c>
      <c r="D9" s="15">
        <f>SUM(D5:D8)</f>
        <v>326.29464048</v>
      </c>
      <c r="E9" s="16" t="s">
        <v>11</v>
      </c>
      <c r="F9" s="16" t="s">
        <v>11</v>
      </c>
      <c r="G9" s="15">
        <f t="shared" ref="G9" si="1">SUM(G5:G8)</f>
        <v>1049.0758035899989</v>
      </c>
      <c r="H9" s="15">
        <f t="shared" si="0"/>
        <v>22.315144530000001</v>
      </c>
      <c r="I9" s="15">
        <f t="shared" si="0"/>
        <v>1759.9302391299989</v>
      </c>
    </row>
    <row r="10" spans="1:11" x14ac:dyDescent="0.25">
      <c r="A10" s="8">
        <v>2018</v>
      </c>
      <c r="B10" s="9"/>
      <c r="C10" s="9"/>
      <c r="D10" s="9"/>
      <c r="E10" s="9"/>
      <c r="F10" s="9"/>
      <c r="G10" s="9"/>
      <c r="H10" s="9"/>
      <c r="I10" s="10"/>
      <c r="J10" s="17"/>
    </row>
    <row r="11" spans="1:11" x14ac:dyDescent="0.25">
      <c r="A11" s="11" t="s">
        <v>10</v>
      </c>
      <c r="B11" s="12">
        <f>110061605.82/1000000</f>
        <v>110.06160582</v>
      </c>
      <c r="C11" s="12">
        <f>80974783.62/1000000</f>
        <v>80.974783620000011</v>
      </c>
      <c r="D11" s="12">
        <f>121315706.63/1000000</f>
        <v>121.31570662999999</v>
      </c>
      <c r="E11" s="13" t="s">
        <v>11</v>
      </c>
      <c r="F11" s="13" t="s">
        <v>11</v>
      </c>
      <c r="G11" s="12">
        <f>599277625.050001/1000000</f>
        <v>599.27762505000101</v>
      </c>
      <c r="H11" s="12">
        <f>1170173.98/1000000</f>
        <v>1.1701739799999999</v>
      </c>
      <c r="I11" s="12">
        <f>SUM(B11:H11)</f>
        <v>912.79989510000098</v>
      </c>
    </row>
    <row r="12" spans="1:11" x14ac:dyDescent="0.25">
      <c r="A12" s="11" t="s">
        <v>12</v>
      </c>
      <c r="B12" s="12">
        <f>73764508.95/1000000</f>
        <v>73.764508950000007</v>
      </c>
      <c r="C12" s="12">
        <f>62584782.95/1000000</f>
        <v>62.584782950000005</v>
      </c>
      <c r="D12" s="12">
        <f>199891712.17/1000000</f>
        <v>199.89171216999998</v>
      </c>
      <c r="E12" s="13" t="s">
        <v>11</v>
      </c>
      <c r="F12" s="13" t="s">
        <v>11</v>
      </c>
      <c r="G12" s="12">
        <f>259720374.72/1000000</f>
        <v>259.72037472</v>
      </c>
      <c r="H12" s="12">
        <f>27750/1000000</f>
        <v>2.775E-2</v>
      </c>
      <c r="I12" s="12">
        <f t="shared" ref="I12:I14" si="2">SUM(B12:H12)</f>
        <v>595.98912879</v>
      </c>
    </row>
    <row r="13" spans="1:11" x14ac:dyDescent="0.25">
      <c r="A13" s="11" t="s">
        <v>13</v>
      </c>
      <c r="B13" s="12">
        <f>20177713.14/1000000</f>
        <v>20.177713140000002</v>
      </c>
      <c r="C13" s="12">
        <f>15849605.49/1000000</f>
        <v>15.84960549</v>
      </c>
      <c r="D13" s="12">
        <f>21436935.56/1000000</f>
        <v>21.436935559999998</v>
      </c>
      <c r="E13" s="13" t="s">
        <v>11</v>
      </c>
      <c r="F13" s="13" t="s">
        <v>11</v>
      </c>
      <c r="G13" s="12">
        <f>130332567.26/1000000</f>
        <v>130.33256726000002</v>
      </c>
      <c r="H13" s="12">
        <f>22734837.78/1000000</f>
        <v>22.734837779999999</v>
      </c>
      <c r="I13" s="12">
        <f t="shared" si="2"/>
        <v>210.53165923000003</v>
      </c>
    </row>
    <row r="14" spans="1:11" x14ac:dyDescent="0.25">
      <c r="A14" s="11" t="s">
        <v>14</v>
      </c>
      <c r="B14" s="12">
        <f>3535429.91/1000000</f>
        <v>3.53542991</v>
      </c>
      <c r="C14" s="12">
        <f>10401724.62/1000000</f>
        <v>10.40172462</v>
      </c>
      <c r="D14" s="12">
        <f>17415517.28/1000000</f>
        <v>17.41551728</v>
      </c>
      <c r="E14" s="13" t="s">
        <v>11</v>
      </c>
      <c r="F14" s="13" t="s">
        <v>11</v>
      </c>
      <c r="G14" s="12">
        <f>62772912.45/1000000</f>
        <v>62.77291245</v>
      </c>
      <c r="H14" s="13" t="s">
        <v>15</v>
      </c>
      <c r="I14" s="12">
        <f t="shared" si="2"/>
        <v>94.125584259999997</v>
      </c>
    </row>
    <row r="15" spans="1:11" x14ac:dyDescent="0.25">
      <c r="A15" s="14" t="s">
        <v>9</v>
      </c>
      <c r="B15" s="15">
        <f>SUM(B11:B14)</f>
        <v>207.53925782000002</v>
      </c>
      <c r="C15" s="15">
        <f>SUM(C11:C14)</f>
        <v>169.81089668000001</v>
      </c>
      <c r="D15" s="15">
        <f>SUM(D11:D14)</f>
        <v>360.05987163999998</v>
      </c>
      <c r="E15" s="16" t="s">
        <v>11</v>
      </c>
      <c r="F15" s="16" t="s">
        <v>11</v>
      </c>
      <c r="G15" s="15">
        <f t="shared" ref="G15:I15" si="3">SUM(G11:G14)</f>
        <v>1052.1034794800009</v>
      </c>
      <c r="H15" s="15">
        <f t="shared" si="3"/>
        <v>23.932761759999998</v>
      </c>
      <c r="I15" s="15">
        <f t="shared" si="3"/>
        <v>1813.446267380001</v>
      </c>
      <c r="K15" s="17"/>
    </row>
    <row r="16" spans="1:11" x14ac:dyDescent="0.25">
      <c r="A16" s="18">
        <v>2019</v>
      </c>
      <c r="B16" s="19"/>
      <c r="C16" s="19"/>
      <c r="D16" s="19"/>
      <c r="E16" s="19"/>
      <c r="F16" s="19"/>
      <c r="G16" s="19"/>
      <c r="H16" s="19"/>
      <c r="I16" s="20"/>
    </row>
    <row r="17" spans="1:9" x14ac:dyDescent="0.25">
      <c r="A17" s="11" t="s">
        <v>10</v>
      </c>
      <c r="B17" s="12">
        <v>84</v>
      </c>
      <c r="C17" s="12">
        <v>86</v>
      </c>
      <c r="D17" s="12">
        <v>126</v>
      </c>
      <c r="E17" s="13" t="s">
        <v>11</v>
      </c>
      <c r="F17" s="13" t="s">
        <v>11</v>
      </c>
      <c r="G17" s="12">
        <v>608</v>
      </c>
      <c r="H17" s="12">
        <v>1</v>
      </c>
      <c r="I17" s="12">
        <f>SUM(B17:H17)</f>
        <v>905</v>
      </c>
    </row>
    <row r="18" spans="1:9" x14ac:dyDescent="0.25">
      <c r="A18" s="11" t="s">
        <v>12</v>
      </c>
      <c r="B18" s="12">
        <v>87</v>
      </c>
      <c r="C18" s="12">
        <v>73</v>
      </c>
      <c r="D18" s="12">
        <v>237</v>
      </c>
      <c r="E18" s="13" t="s">
        <v>11</v>
      </c>
      <c r="F18" s="13" t="s">
        <v>11</v>
      </c>
      <c r="G18" s="12">
        <v>288</v>
      </c>
      <c r="H18" s="13" t="s">
        <v>15</v>
      </c>
      <c r="I18" s="12">
        <f>684</f>
        <v>684</v>
      </c>
    </row>
    <row r="19" spans="1:9" x14ac:dyDescent="0.25">
      <c r="A19" s="11" t="s">
        <v>13</v>
      </c>
      <c r="B19" s="12">
        <v>26</v>
      </c>
      <c r="C19" s="12">
        <v>22</v>
      </c>
      <c r="D19" s="12">
        <v>18</v>
      </c>
      <c r="E19" s="13" t="s">
        <v>11</v>
      </c>
      <c r="F19" s="13" t="s">
        <v>11</v>
      </c>
      <c r="G19" s="12">
        <v>139</v>
      </c>
      <c r="H19" s="12">
        <v>22</v>
      </c>
      <c r="I19" s="12">
        <v>228</v>
      </c>
    </row>
    <row r="20" spans="1:9" x14ac:dyDescent="0.25">
      <c r="A20" s="11" t="s">
        <v>14</v>
      </c>
      <c r="B20" s="12">
        <v>5</v>
      </c>
      <c r="C20" s="12">
        <v>9</v>
      </c>
      <c r="D20" s="12">
        <v>17</v>
      </c>
      <c r="E20" s="13" t="s">
        <v>11</v>
      </c>
      <c r="F20" s="13" t="s">
        <v>11</v>
      </c>
      <c r="G20" s="12">
        <v>75</v>
      </c>
      <c r="H20" s="13" t="s">
        <v>15</v>
      </c>
      <c r="I20" s="12">
        <v>105</v>
      </c>
    </row>
    <row r="21" spans="1:9" x14ac:dyDescent="0.25">
      <c r="A21" s="14" t="s">
        <v>9</v>
      </c>
      <c r="B21" s="15">
        <f>SUM(B17:B20)</f>
        <v>202</v>
      </c>
      <c r="C21" s="15">
        <f>SUM(C17:C20)</f>
        <v>190</v>
      </c>
      <c r="D21" s="15">
        <f>SUM(D17:D20)</f>
        <v>398</v>
      </c>
      <c r="E21" s="16" t="s">
        <v>11</v>
      </c>
      <c r="F21" s="16" t="s">
        <v>11</v>
      </c>
      <c r="G21" s="15">
        <f t="shared" ref="G21:I21" si="4">SUM(G17:G20)</f>
        <v>1110</v>
      </c>
      <c r="H21" s="15">
        <f t="shared" si="4"/>
        <v>23</v>
      </c>
      <c r="I21" s="15">
        <f t="shared" si="4"/>
        <v>1922</v>
      </c>
    </row>
    <row r="22" spans="1:9" x14ac:dyDescent="0.25">
      <c r="A22" s="18">
        <v>2020</v>
      </c>
      <c r="B22" s="19"/>
      <c r="C22" s="19"/>
      <c r="D22" s="19"/>
      <c r="E22" s="19"/>
      <c r="F22" s="19"/>
      <c r="G22" s="19"/>
      <c r="H22" s="19"/>
      <c r="I22" s="20"/>
    </row>
    <row r="23" spans="1:9" x14ac:dyDescent="0.25">
      <c r="A23" s="11" t="s">
        <v>10</v>
      </c>
      <c r="B23" s="21">
        <v>74704988.760000005</v>
      </c>
      <c r="C23" s="21">
        <v>75080001.680000007</v>
      </c>
      <c r="D23" s="21">
        <v>119941924.09</v>
      </c>
      <c r="E23" s="21">
        <v>241665550.30000001</v>
      </c>
      <c r="F23" s="21">
        <v>301684230.88</v>
      </c>
      <c r="G23" s="22" t="s">
        <v>11</v>
      </c>
      <c r="H23" s="21">
        <v>1170174</v>
      </c>
      <c r="I23" s="21">
        <f>SUM(B23:H23)</f>
        <v>814246869.71000004</v>
      </c>
    </row>
    <row r="24" spans="1:9" x14ac:dyDescent="0.25">
      <c r="A24" s="11" t="s">
        <v>12</v>
      </c>
      <c r="B24" s="21">
        <v>73714990.709999993</v>
      </c>
      <c r="C24" s="21">
        <v>82302778.510000005</v>
      </c>
      <c r="D24" s="21">
        <v>248266896.80000001</v>
      </c>
      <c r="E24" s="21">
        <v>241478370.16999999</v>
      </c>
      <c r="F24" s="21">
        <v>79496849.569999993</v>
      </c>
      <c r="G24" s="22" t="s">
        <v>11</v>
      </c>
      <c r="H24" s="13" t="s">
        <v>15</v>
      </c>
      <c r="I24" s="21">
        <f>SUM(B24:H24)</f>
        <v>725259885.75999999</v>
      </c>
    </row>
    <row r="25" spans="1:9" x14ac:dyDescent="0.25">
      <c r="A25" s="11" t="s">
        <v>13</v>
      </c>
      <c r="B25" s="21">
        <v>22446565.199999999</v>
      </c>
      <c r="C25" s="21">
        <v>26648024.02</v>
      </c>
      <c r="D25" s="21">
        <v>16597077.800000001</v>
      </c>
      <c r="E25" s="21">
        <v>63102749.609999999</v>
      </c>
      <c r="F25" s="21">
        <v>90411732.840000004</v>
      </c>
      <c r="G25" s="22" t="s">
        <v>11</v>
      </c>
      <c r="H25" s="21">
        <v>19906862.84</v>
      </c>
      <c r="I25" s="21">
        <f>SUM(B25:H25)</f>
        <v>239113012.31</v>
      </c>
    </row>
    <row r="26" spans="1:9" x14ac:dyDescent="0.25">
      <c r="A26" s="11" t="s">
        <v>14</v>
      </c>
      <c r="B26" s="21">
        <v>8469357.9299999997</v>
      </c>
      <c r="C26" s="21">
        <v>8213885.29</v>
      </c>
      <c r="D26" s="21">
        <v>21968889.629999999</v>
      </c>
      <c r="E26" s="21">
        <v>35065670.32</v>
      </c>
      <c r="F26" s="21">
        <v>31823740.859999999</v>
      </c>
      <c r="G26" s="22" t="s">
        <v>11</v>
      </c>
      <c r="H26" s="13" t="s">
        <v>15</v>
      </c>
      <c r="I26" s="21">
        <f>SUM(B26:H26)</f>
        <v>105541544.02999999</v>
      </c>
    </row>
    <row r="27" spans="1:9" x14ac:dyDescent="0.25">
      <c r="A27" s="14" t="s">
        <v>9</v>
      </c>
      <c r="B27" s="23">
        <f>SUM(B23:B26)</f>
        <v>179335902.59999999</v>
      </c>
      <c r="C27" s="23">
        <f t="shared" ref="C27:I27" si="5">SUM(C23:C26)</f>
        <v>192244689.5</v>
      </c>
      <c r="D27" s="23">
        <f t="shared" si="5"/>
        <v>406774788.31999999</v>
      </c>
      <c r="E27" s="23">
        <f t="shared" si="5"/>
        <v>581312340.4000001</v>
      </c>
      <c r="F27" s="23">
        <f t="shared" si="5"/>
        <v>503416554.14999998</v>
      </c>
      <c r="G27" s="24" t="s">
        <v>11</v>
      </c>
      <c r="H27" s="23">
        <f t="shared" si="5"/>
        <v>21077036.84</v>
      </c>
      <c r="I27" s="23">
        <f t="shared" si="5"/>
        <v>1884161311.8099999</v>
      </c>
    </row>
  </sheetData>
  <mergeCells count="2">
    <mergeCell ref="A16:I16"/>
    <mergeCell ref="A22:I22"/>
  </mergeCells>
  <pageMargins left="0.25" right="0.25" top="0.75" bottom="0.75" header="0.3" footer="0.3"/>
  <pageSetup paperSize="9" fitToHeight="0" orientation="portrait" r:id="rId1"/>
  <headerFooter>
    <oddHeader xml:space="preserve">&amp;L&amp;G&amp;RFORSKNING OG FORMIDLING </oddHeader>
    <oddFooter>&amp;LAarhus Universitet, AU i tal 2020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d3</vt:lpstr>
    </vt:vector>
  </TitlesOfParts>
  <Company>Aarhus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Louise Asmund-Hjorth</dc:creator>
  <cp:lastModifiedBy>Louise Asmund-Hjorth</cp:lastModifiedBy>
  <dcterms:created xsi:type="dcterms:W3CDTF">2021-06-22T09:54:41Z</dcterms:created>
  <dcterms:modified xsi:type="dcterms:W3CDTF">2021-06-22T09:54:59Z</dcterms:modified>
</cp:coreProperties>
</file>