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g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F73" i="1"/>
  <c r="E73" i="1"/>
  <c r="D73" i="1"/>
  <c r="C73" i="1"/>
  <c r="B73" i="1"/>
  <c r="H73" i="1" s="1"/>
  <c r="G72" i="1"/>
  <c r="F72" i="1"/>
  <c r="D72" i="1"/>
  <c r="C72" i="1"/>
  <c r="B72" i="1"/>
  <c r="D71" i="1"/>
  <c r="C71" i="1"/>
  <c r="B71" i="1"/>
  <c r="G70" i="1"/>
  <c r="D70" i="1"/>
  <c r="D68" i="1" s="1"/>
  <c r="C70" i="1"/>
  <c r="B70" i="1"/>
  <c r="G69" i="1"/>
  <c r="D69" i="1"/>
  <c r="D75" i="1" s="1"/>
  <c r="C69" i="1"/>
  <c r="B69" i="1"/>
  <c r="B75" i="1" s="1"/>
  <c r="B68" i="1"/>
  <c r="G67" i="1"/>
  <c r="F67" i="1"/>
  <c r="E67" i="1"/>
  <c r="D67" i="1"/>
  <c r="H67" i="1" s="1"/>
  <c r="C67" i="1"/>
  <c r="B67" i="1"/>
  <c r="D66" i="1"/>
  <c r="D63" i="1" s="1"/>
  <c r="D74" i="1" s="1"/>
  <c r="C66" i="1"/>
  <c r="B66" i="1"/>
  <c r="G65" i="1"/>
  <c r="F65" i="1"/>
  <c r="E65" i="1"/>
  <c r="D65" i="1"/>
  <c r="C65" i="1"/>
  <c r="C63" i="1" s="1"/>
  <c r="B65" i="1"/>
  <c r="H65" i="1" s="1"/>
  <c r="F64" i="1"/>
  <c r="E64" i="1"/>
  <c r="D64" i="1"/>
  <c r="C64" i="1"/>
  <c r="B64" i="1"/>
  <c r="H60" i="1"/>
  <c r="H59" i="1"/>
  <c r="H58" i="1"/>
  <c r="H57" i="1"/>
  <c r="H56" i="1"/>
  <c r="G55" i="1"/>
  <c r="G61" i="1" s="1"/>
  <c r="F55" i="1"/>
  <c r="E55" i="1"/>
  <c r="D55" i="1"/>
  <c r="H55" i="1" s="1"/>
  <c r="C55" i="1"/>
  <c r="C61" i="1" s="1"/>
  <c r="B55" i="1"/>
  <c r="H54" i="1"/>
  <c r="H53" i="1"/>
  <c r="H52" i="1" s="1"/>
  <c r="G52" i="1"/>
  <c r="F52" i="1"/>
  <c r="F61" i="1" s="1"/>
  <c r="E52" i="1"/>
  <c r="E61" i="1" s="1"/>
  <c r="D52" i="1"/>
  <c r="C52" i="1"/>
  <c r="B52" i="1"/>
  <c r="B61" i="1" s="1"/>
  <c r="H46" i="1"/>
  <c r="H45" i="1"/>
  <c r="H44" i="1"/>
  <c r="H43" i="1"/>
  <c r="H42" i="1"/>
  <c r="G41" i="1"/>
  <c r="G47" i="1" s="1"/>
  <c r="F41" i="1"/>
  <c r="E41" i="1"/>
  <c r="D41" i="1"/>
  <c r="H41" i="1" s="1"/>
  <c r="C41" i="1"/>
  <c r="C47" i="1" s="1"/>
  <c r="B41" i="1"/>
  <c r="H40" i="1"/>
  <c r="H39" i="1"/>
  <c r="H38" i="1" s="1"/>
  <c r="G38" i="1"/>
  <c r="F38" i="1"/>
  <c r="F47" i="1" s="1"/>
  <c r="E38" i="1"/>
  <c r="E47" i="1" s="1"/>
  <c r="D38" i="1"/>
  <c r="C38" i="1"/>
  <c r="B38" i="1"/>
  <c r="B47" i="1" s="1"/>
  <c r="H35" i="1"/>
  <c r="H34" i="1"/>
  <c r="H33" i="1"/>
  <c r="H32" i="1"/>
  <c r="H31" i="1"/>
  <c r="H30" i="1"/>
  <c r="G30" i="1"/>
  <c r="G36" i="1" s="1"/>
  <c r="F30" i="1"/>
  <c r="F36" i="1" s="1"/>
  <c r="E30" i="1"/>
  <c r="E36" i="1" s="1"/>
  <c r="D30" i="1"/>
  <c r="D36" i="1" s="1"/>
  <c r="C30" i="1"/>
  <c r="C36" i="1" s="1"/>
  <c r="B30" i="1"/>
  <c r="B36" i="1" s="1"/>
  <c r="H29" i="1"/>
  <c r="H28" i="1"/>
  <c r="H27" i="1"/>
  <c r="D27" i="1"/>
  <c r="H24" i="1"/>
  <c r="H23" i="1"/>
  <c r="H22" i="1"/>
  <c r="H21" i="1"/>
  <c r="H20" i="1"/>
  <c r="G19" i="1"/>
  <c r="F19" i="1"/>
  <c r="E19" i="1"/>
  <c r="D19" i="1"/>
  <c r="C19" i="1"/>
  <c r="B19" i="1"/>
  <c r="H19" i="1" s="1"/>
  <c r="H18" i="1"/>
  <c r="G17" i="1"/>
  <c r="G25" i="1" s="1"/>
  <c r="F17" i="1"/>
  <c r="F25" i="1" s="1"/>
  <c r="E17" i="1"/>
  <c r="E25" i="1" s="1"/>
  <c r="D17" i="1"/>
  <c r="D25" i="1" s="1"/>
  <c r="C17" i="1"/>
  <c r="C25" i="1" s="1"/>
  <c r="B17" i="1"/>
  <c r="B25" i="1" s="1"/>
  <c r="F15" i="1"/>
  <c r="B15" i="1"/>
  <c r="H14" i="1"/>
  <c r="F13" i="1"/>
  <c r="E13" i="1"/>
  <c r="E72" i="1" s="1"/>
  <c r="G12" i="1"/>
  <c r="G71" i="1" s="1"/>
  <c r="F12" i="1"/>
  <c r="F71" i="1" s="1"/>
  <c r="E12" i="1"/>
  <c r="H12" i="1" s="1"/>
  <c r="H11" i="1"/>
  <c r="F11" i="1"/>
  <c r="F70" i="1" s="1"/>
  <c r="E11" i="1"/>
  <c r="E70" i="1" s="1"/>
  <c r="H10" i="1"/>
  <c r="G10" i="1"/>
  <c r="F10" i="1"/>
  <c r="F69" i="1" s="1"/>
  <c r="E10" i="1"/>
  <c r="E69" i="1" s="1"/>
  <c r="G9" i="1"/>
  <c r="F9" i="1"/>
  <c r="D9" i="1"/>
  <c r="C9" i="1"/>
  <c r="B9" i="1"/>
  <c r="H8" i="1"/>
  <c r="H7" i="1"/>
  <c r="G7" i="1"/>
  <c r="G66" i="1" s="1"/>
  <c r="F7" i="1"/>
  <c r="F66" i="1" s="1"/>
  <c r="E7" i="1"/>
  <c r="E66" i="1" s="1"/>
  <c r="E63" i="1" s="1"/>
  <c r="H6" i="1"/>
  <c r="H5" i="1"/>
  <c r="H4" i="1" s="1"/>
  <c r="G5" i="1"/>
  <c r="G64" i="1" s="1"/>
  <c r="G4" i="1"/>
  <c r="G15" i="1" s="1"/>
  <c r="F4" i="1"/>
  <c r="E4" i="1"/>
  <c r="D4" i="1"/>
  <c r="D15" i="1" s="1"/>
  <c r="C4" i="1"/>
  <c r="C15" i="1" s="1"/>
  <c r="B4" i="1"/>
  <c r="H36" i="1" l="1"/>
  <c r="G63" i="1"/>
  <c r="H25" i="1"/>
  <c r="H64" i="1"/>
  <c r="H63" i="1" s="1"/>
  <c r="F63" i="1"/>
  <c r="H72" i="1"/>
  <c r="H61" i="1"/>
  <c r="F75" i="1"/>
  <c r="F68" i="1"/>
  <c r="D47" i="1"/>
  <c r="H47" i="1" s="1"/>
  <c r="E9" i="1"/>
  <c r="E15" i="1" s="1"/>
  <c r="H15" i="1" s="1"/>
  <c r="H17" i="1"/>
  <c r="B63" i="1"/>
  <c r="B74" i="1" s="1"/>
  <c r="C68" i="1"/>
  <c r="C74" i="1" s="1"/>
  <c r="G68" i="1"/>
  <c r="G75" i="1" s="1"/>
  <c r="H69" i="1"/>
  <c r="D61" i="1"/>
  <c r="H66" i="1"/>
  <c r="H70" i="1"/>
  <c r="E71" i="1"/>
  <c r="E68" i="1" s="1"/>
  <c r="H13" i="1"/>
  <c r="H9" i="1" s="1"/>
  <c r="E74" i="1" l="1"/>
  <c r="H74" i="1" s="1"/>
  <c r="E75" i="1"/>
  <c r="C75" i="1"/>
  <c r="H71" i="1"/>
  <c r="H68" i="1"/>
  <c r="H75" i="1" s="1"/>
  <c r="F74" i="1"/>
  <c r="G74" i="1"/>
</calcChain>
</file>

<file path=xl/sharedStrings.xml><?xml version="1.0" encoding="utf-8"?>
<sst xmlns="http://schemas.openxmlformats.org/spreadsheetml/2006/main" count="87" uniqueCount="30">
  <si>
    <t>G1. Resultatopgørelse for 2020 fordelt på fakulteter</t>
  </si>
  <si>
    <t>Arts</t>
  </si>
  <si>
    <t>Aarhus BSS</t>
  </si>
  <si>
    <t>Health</t>
  </si>
  <si>
    <t>Natural Sciences</t>
  </si>
  <si>
    <t>Technical Sciences</t>
  </si>
  <si>
    <t>Fælles-området</t>
  </si>
  <si>
    <t>I alt</t>
  </si>
  <si>
    <t>Delregnskab 1 - ordinær virksomhed*</t>
  </si>
  <si>
    <t>Indtægter</t>
  </si>
  <si>
    <t>Finanslovstilskud</t>
  </si>
  <si>
    <t>Eksterne tilskud</t>
  </si>
  <si>
    <t>Salg/øvrige driftsindtægter</t>
  </si>
  <si>
    <t>Interne bidrag</t>
  </si>
  <si>
    <t>Omkostninger</t>
  </si>
  <si>
    <t>Løn</t>
  </si>
  <si>
    <t>Bygningsomkostninger</t>
  </si>
  <si>
    <t>Øvrige driftsomkostninger</t>
  </si>
  <si>
    <t>Afskrivninger</t>
  </si>
  <si>
    <t>Finansielle poster</t>
  </si>
  <si>
    <t>Årets resultat</t>
  </si>
  <si>
    <t>Delregnskab 2 - indtægtsdækket virksomhed</t>
  </si>
  <si>
    <t>Delregnskab 3 - retsmedicin</t>
  </si>
  <si>
    <t>Delregnskab 4 - tilskudsfinansieret forskning</t>
  </si>
  <si>
    <t>1000 kr.</t>
  </si>
  <si>
    <t>Delregnskab 5 - andre tilskudsfinansierede aktiviteter</t>
  </si>
  <si>
    <t>AU i alt</t>
  </si>
  <si>
    <t>Årets resultat af ordinær drift</t>
  </si>
  <si>
    <t>Relativ lønandel</t>
  </si>
  <si>
    <t>*Delregnskab 6 Uddannelsesforskning og Delregnskab 9 Grønlandsbeskattede er lagt sammen med Delregnskab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</si>
</sst>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0,"/>
    <numFmt numFmtId="166" formatCode="_ * #,##0_ ;_ * \-#,##0_ ;_ * &quot;-&quot;??_ ;_ @_ "/>
    <numFmt numFmtId="167" formatCode="#,###,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1D3E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3" fontId="5" fillId="0" borderId="0" xfId="0" applyNumberFormat="1" applyFont="1"/>
    <xf numFmtId="3" fontId="4" fillId="0" borderId="0" xfId="1" applyNumberFormat="1" applyFont="1"/>
    <xf numFmtId="3" fontId="4" fillId="0" borderId="0" xfId="0" applyNumberFormat="1" applyFont="1"/>
    <xf numFmtId="3" fontId="2" fillId="2" borderId="1" xfId="0" applyNumberFormat="1" applyFont="1" applyFill="1" applyBorder="1" applyAlignment="1">
      <alignment horizontal="left" vertical="center"/>
    </xf>
    <xf numFmtId="3" fontId="2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4" fillId="3" borderId="4" xfId="0" applyNumberFormat="1" applyFont="1" applyFill="1" applyBorder="1"/>
    <xf numFmtId="3" fontId="4" fillId="3" borderId="5" xfId="0" applyNumberFormat="1" applyFont="1" applyFill="1" applyBorder="1"/>
    <xf numFmtId="3" fontId="4" fillId="3" borderId="6" xfId="0" applyNumberFormat="1" applyFont="1" applyFill="1" applyBorder="1"/>
    <xf numFmtId="3" fontId="4" fillId="4" borderId="7" xfId="0" applyNumberFormat="1" applyFont="1" applyFill="1" applyBorder="1" applyAlignment="1">
      <alignment horizontal="left"/>
    </xf>
    <xf numFmtId="165" fontId="6" fillId="4" borderId="7" xfId="3" applyNumberFormat="1" applyFont="1" applyFill="1" applyBorder="1"/>
    <xf numFmtId="3" fontId="0" fillId="0" borderId="7" xfId="0" applyNumberFormat="1" applyBorder="1" applyAlignment="1">
      <alignment horizontal="left" indent="1"/>
    </xf>
    <xf numFmtId="165" fontId="7" fillId="0" borderId="7" xfId="3" applyNumberFormat="1" applyFont="1" applyBorder="1"/>
    <xf numFmtId="165" fontId="7" fillId="4" borderId="7" xfId="3" applyNumberFormat="1" applyFont="1" applyFill="1" applyBorder="1"/>
    <xf numFmtId="3" fontId="4" fillId="5" borderId="7" xfId="0" applyNumberFormat="1" applyFont="1" applyFill="1" applyBorder="1"/>
    <xf numFmtId="165" fontId="6" fillId="5" borderId="7" xfId="3" applyNumberFormat="1" applyFont="1" applyFill="1" applyBorder="1"/>
    <xf numFmtId="166" fontId="6" fillId="3" borderId="5" xfId="1" applyNumberFormat="1" applyFont="1" applyFill="1" applyBorder="1"/>
    <xf numFmtId="166" fontId="6" fillId="3" borderId="6" xfId="1" applyNumberFormat="1" applyFont="1" applyFill="1" applyBorder="1"/>
    <xf numFmtId="165" fontId="7" fillId="0" borderId="7" xfId="0" applyNumberFormat="1" applyFont="1" applyBorder="1"/>
    <xf numFmtId="3" fontId="7" fillId="4" borderId="7" xfId="3" applyNumberFormat="1" applyFont="1" applyFill="1" applyBorder="1"/>
    <xf numFmtId="3" fontId="4" fillId="5" borderId="8" xfId="0" applyNumberFormat="1" applyFont="1" applyFill="1" applyBorder="1"/>
    <xf numFmtId="165" fontId="6" fillId="5" borderId="8" xfId="3" applyNumberFormat="1" applyFont="1" applyFill="1" applyBorder="1"/>
    <xf numFmtId="3" fontId="4" fillId="0" borderId="9" xfId="0" applyNumberFormat="1" applyFont="1" applyFill="1" applyBorder="1"/>
    <xf numFmtId="165" fontId="6" fillId="0" borderId="9" xfId="3" applyNumberFormat="1" applyFont="1" applyFill="1" applyBorder="1"/>
    <xf numFmtId="165" fontId="6" fillId="0" borderId="9" xfId="1" applyNumberFormat="1" applyFont="1" applyFill="1" applyBorder="1"/>
    <xf numFmtId="3" fontId="4" fillId="0" borderId="0" xfId="0" applyNumberFormat="1" applyFont="1" applyFill="1" applyBorder="1"/>
    <xf numFmtId="165" fontId="6" fillId="0" borderId="0" xfId="3" applyNumberFormat="1" applyFont="1" applyFill="1" applyBorder="1"/>
    <xf numFmtId="165" fontId="6" fillId="0" borderId="0" xfId="1" applyNumberFormat="1" applyFont="1" applyFill="1" applyBorder="1"/>
    <xf numFmtId="3" fontId="8" fillId="2" borderId="2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right" vertical="center" wrapText="1"/>
    </xf>
    <xf numFmtId="3" fontId="4" fillId="3" borderId="10" xfId="0" applyNumberFormat="1" applyFont="1" applyFill="1" applyBorder="1"/>
    <xf numFmtId="3" fontId="4" fillId="3" borderId="11" xfId="0" applyNumberFormat="1" applyFont="1" applyFill="1" applyBorder="1"/>
    <xf numFmtId="3" fontId="4" fillId="3" borderId="12" xfId="0" applyNumberFormat="1" applyFont="1" applyFill="1" applyBorder="1"/>
    <xf numFmtId="3" fontId="6" fillId="3" borderId="5" xfId="0" applyNumberFormat="1" applyFont="1" applyFill="1" applyBorder="1"/>
    <xf numFmtId="3" fontId="6" fillId="3" borderId="6" xfId="0" applyNumberFormat="1" applyFont="1" applyFill="1" applyBorder="1"/>
    <xf numFmtId="167" fontId="6" fillId="4" borderId="7" xfId="1" applyNumberFormat="1" applyFont="1" applyFill="1" applyBorder="1"/>
    <xf numFmtId="167" fontId="7" fillId="0" borderId="7" xfId="1" applyNumberFormat="1" applyFont="1" applyBorder="1"/>
    <xf numFmtId="3" fontId="0" fillId="0" borderId="0" xfId="1" applyNumberFormat="1" applyFont="1"/>
    <xf numFmtId="167" fontId="7" fillId="0" borderId="7" xfId="1" applyNumberFormat="1" applyFont="1" applyFill="1" applyBorder="1"/>
    <xf numFmtId="167" fontId="6" fillId="5" borderId="7" xfId="1" applyNumberFormat="1" applyFont="1" applyFill="1" applyBorder="1"/>
    <xf numFmtId="3" fontId="4" fillId="3" borderId="7" xfId="0" applyNumberFormat="1" applyFont="1" applyFill="1" applyBorder="1"/>
    <xf numFmtId="9" fontId="6" fillId="3" borderId="7" xfId="2" applyFont="1" applyFill="1" applyBorder="1"/>
    <xf numFmtId="3" fontId="7" fillId="0" borderId="0" xfId="1" applyNumberFormat="1" applyFont="1"/>
    <xf numFmtId="3" fontId="7" fillId="0" borderId="0" xfId="0" applyNumberFormat="1" applyFont="1"/>
    <xf numFmtId="3" fontId="9" fillId="0" borderId="0" xfId="0" applyNumberFormat="1" applyFont="1"/>
    <xf numFmtId="3" fontId="3" fillId="0" borderId="0" xfId="0" applyNumberFormat="1" applyFont="1"/>
  </cellXfs>
  <cellStyles count="4">
    <cellStyle name="Komma" xfId="1" builtinId="3"/>
    <cellStyle name="Komma 2" xf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view="pageLayout" topLeftCell="A61" zoomScaleNormal="100" workbookViewId="0">
      <selection activeCell="B57" sqref="B57"/>
    </sheetView>
  </sheetViews>
  <sheetFormatPr defaultColWidth="8.85546875" defaultRowHeight="15" x14ac:dyDescent="0.25"/>
  <cols>
    <col min="1" max="1" width="27.85546875" style="8" customWidth="1"/>
    <col min="2" max="3" width="9" style="40" customWidth="1"/>
    <col min="4" max="4" width="9.7109375" style="40" customWidth="1"/>
    <col min="5" max="5" width="9.7109375" style="40" bestFit="1" customWidth="1"/>
    <col min="6" max="6" width="9.85546875" style="40" customWidth="1"/>
    <col min="7" max="7" width="12.140625" style="40" customWidth="1"/>
    <col min="8" max="8" width="11.140625" style="40" customWidth="1"/>
    <col min="9" max="9" width="16.7109375" style="8" customWidth="1"/>
    <col min="10" max="10" width="15.28515625" style="8" customWidth="1"/>
    <col min="11" max="16384" width="8.85546875" style="8"/>
  </cols>
  <sheetData>
    <row r="1" spans="1:8" s="3" customFormat="1" ht="17.25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s="8" customFormat="1" ht="30.75" customHeight="1" x14ac:dyDescent="0.25">
      <c r="A2" s="4">
        <v>1000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5" t="s">
        <v>6</v>
      </c>
      <c r="H2" s="7" t="s">
        <v>7</v>
      </c>
    </row>
    <row r="3" spans="1:8" s="8" customFormat="1" x14ac:dyDescent="0.25">
      <c r="A3" s="9" t="s">
        <v>8</v>
      </c>
      <c r="B3" s="10"/>
      <c r="C3" s="10"/>
      <c r="D3" s="10"/>
      <c r="E3" s="10"/>
      <c r="F3" s="10"/>
      <c r="G3" s="10"/>
      <c r="H3" s="11"/>
    </row>
    <row r="4" spans="1:8" s="8" customFormat="1" x14ac:dyDescent="0.25">
      <c r="A4" s="12" t="s">
        <v>9</v>
      </c>
      <c r="B4" s="13">
        <f>B5+B7+B6+B8</f>
        <v>718308198.09000003</v>
      </c>
      <c r="C4" s="13">
        <f>C5+C7+C6+C8</f>
        <v>748360711.99000013</v>
      </c>
      <c r="D4" s="13">
        <f>D5+D7+D6+D8</f>
        <v>796569230.88999999</v>
      </c>
      <c r="E4" s="13">
        <f>E5+E7+E6+E8</f>
        <v>609799006.99000001</v>
      </c>
      <c r="F4" s="13">
        <f>F5+F7+F6+F8</f>
        <v>751719032.63000011</v>
      </c>
      <c r="G4" s="13">
        <f>G5+G7+G6+G8</f>
        <v>858496949.13</v>
      </c>
      <c r="H4" s="13">
        <f>H5+H7+H6+H8</f>
        <v>4483253129.7200003</v>
      </c>
    </row>
    <row r="5" spans="1:8" s="8" customFormat="1" x14ac:dyDescent="0.25">
      <c r="A5" s="14" t="s">
        <v>10</v>
      </c>
      <c r="B5" s="15">
        <v>845033074.96000004</v>
      </c>
      <c r="C5" s="15">
        <v>868760152.69000006</v>
      </c>
      <c r="D5" s="15">
        <v>913768841.24000001</v>
      </c>
      <c r="E5" s="15">
        <v>740358563.58000004</v>
      </c>
      <c r="F5" s="15">
        <v>844137092.75999999</v>
      </c>
      <c r="G5" s="15">
        <f>23126443.84+2129836</f>
        <v>25256279.84</v>
      </c>
      <c r="H5" s="15">
        <f>SUM(B5:G5)</f>
        <v>4237314005.0700006</v>
      </c>
    </row>
    <row r="6" spans="1:8" s="8" customFormat="1" x14ac:dyDescent="0.25">
      <c r="A6" s="14" t="s">
        <v>11</v>
      </c>
      <c r="B6" s="15"/>
      <c r="C6" s="15"/>
      <c r="D6" s="15">
        <v>-510.33</v>
      </c>
      <c r="E6" s="15">
        <v>-179.9</v>
      </c>
      <c r="F6" s="15">
        <v>-326.77</v>
      </c>
      <c r="G6" s="15"/>
      <c r="H6" s="15">
        <f>SUM(B6:G6)</f>
        <v>-1017</v>
      </c>
    </row>
    <row r="7" spans="1:8" s="8" customFormat="1" x14ac:dyDescent="0.25">
      <c r="A7" s="14" t="s">
        <v>12</v>
      </c>
      <c r="B7" s="15">
        <v>34183700.649999999</v>
      </c>
      <c r="C7" s="15">
        <v>51110841.329999998</v>
      </c>
      <c r="D7" s="15">
        <v>52119089.270000003</v>
      </c>
      <c r="E7" s="15">
        <f>12486707.54+(11242/2)</f>
        <v>12492328.539999999</v>
      </c>
      <c r="F7" s="15">
        <f>63286283.34+(11242/2)</f>
        <v>63291904.340000004</v>
      </c>
      <c r="G7" s="15">
        <f>32232241.28+24000</f>
        <v>32256241.280000001</v>
      </c>
      <c r="H7" s="15">
        <f>SUM(B7:G7)</f>
        <v>245454105.41</v>
      </c>
    </row>
    <row r="8" spans="1:8" s="8" customFormat="1" x14ac:dyDescent="0.25">
      <c r="A8" s="14" t="s">
        <v>13</v>
      </c>
      <c r="B8" s="15">
        <v>-160908577.52000001</v>
      </c>
      <c r="C8" s="15">
        <v>-171510282.03</v>
      </c>
      <c r="D8" s="15">
        <v>-169318189.28999999</v>
      </c>
      <c r="E8" s="15">
        <v>-143051705.22999999</v>
      </c>
      <c r="F8" s="15">
        <v>-155709637.69999999</v>
      </c>
      <c r="G8" s="15">
        <v>800984428.00999999</v>
      </c>
      <c r="H8" s="15">
        <f>SUM(B8:G8)</f>
        <v>486036.24000000954</v>
      </c>
    </row>
    <row r="9" spans="1:8" s="8" customFormat="1" x14ac:dyDescent="0.25">
      <c r="A9" s="12" t="s">
        <v>14</v>
      </c>
      <c r="B9" s="13">
        <f>SUM(B10:B13)</f>
        <v>-716517694.38</v>
      </c>
      <c r="C9" s="13">
        <f>SUM(C10:C13)</f>
        <v>-749335608.87</v>
      </c>
      <c r="D9" s="13">
        <f>SUM(D10:D13)</f>
        <v>-796184565.75999999</v>
      </c>
      <c r="E9" s="13">
        <f>SUM(E10:E13)</f>
        <v>-577871897.13999999</v>
      </c>
      <c r="F9" s="13">
        <f>SUM(F10:F13)</f>
        <v>-794855187.92999995</v>
      </c>
      <c r="G9" s="13">
        <f>SUM(G10:G13)</f>
        <v>-897141719.33000004</v>
      </c>
      <c r="H9" s="13">
        <f>SUM(H10:H13)</f>
        <v>-4531906673.4099998</v>
      </c>
    </row>
    <row r="10" spans="1:8" s="8" customFormat="1" x14ac:dyDescent="0.25">
      <c r="A10" s="14" t="s">
        <v>15</v>
      </c>
      <c r="B10" s="15">
        <v>-585025646.61000001</v>
      </c>
      <c r="C10" s="15">
        <v>-645088626.12</v>
      </c>
      <c r="D10" s="15">
        <v>-588360774.72000003</v>
      </c>
      <c r="E10" s="15">
        <f>-418581762.63-(334643/2)-(688/2)</f>
        <v>-418749428.13</v>
      </c>
      <c r="F10" s="15">
        <f>-622501661.04-(334643/2)-(688/2)</f>
        <v>-622669326.53999996</v>
      </c>
      <c r="G10" s="15">
        <f>-406276733.91-797403</f>
        <v>-407074136.91000003</v>
      </c>
      <c r="H10" s="15">
        <f>SUM(B10:G10)</f>
        <v>-3266967939.0299997</v>
      </c>
    </row>
    <row r="11" spans="1:8" s="8" customFormat="1" x14ac:dyDescent="0.25">
      <c r="A11" s="14" t="s">
        <v>16</v>
      </c>
      <c r="B11" s="15">
        <v>-106757540.48</v>
      </c>
      <c r="C11" s="15">
        <v>-94996454.659999996</v>
      </c>
      <c r="D11" s="15">
        <v>-142170706.56999999</v>
      </c>
      <c r="E11" s="15">
        <f>-198990394.4-3772/2</f>
        <v>-198992280.40000001</v>
      </c>
      <c r="F11" s="15">
        <f>-196174092.65-3772/2</f>
        <v>-196175978.65000001</v>
      </c>
      <c r="G11" s="15">
        <v>-160992497.44</v>
      </c>
      <c r="H11" s="15">
        <f>SUM(B11:G11)</f>
        <v>-900085458.20000005</v>
      </c>
    </row>
    <row r="12" spans="1:8" s="8" customFormat="1" x14ac:dyDescent="0.25">
      <c r="A12" s="14" t="s">
        <v>17</v>
      </c>
      <c r="B12" s="15">
        <v>-24330739.68</v>
      </c>
      <c r="C12" s="15">
        <v>-2970476.98</v>
      </c>
      <c r="D12" s="15">
        <v>-50822248.859999999</v>
      </c>
      <c r="E12" s="15">
        <f>52096840.58-(10106/2)+(5750/2)</f>
        <v>52094662.579999998</v>
      </c>
      <c r="F12" s="15">
        <f>52049123.22-10106/2+5750/2</f>
        <v>52046945.219999999</v>
      </c>
      <c r="G12" s="15">
        <f>-311569973-1356433</f>
        <v>-312926406</v>
      </c>
      <c r="H12" s="15">
        <f>SUM(B12:G12)</f>
        <v>-286908263.72000003</v>
      </c>
    </row>
    <row r="13" spans="1:8" s="8" customFormat="1" x14ac:dyDescent="0.25">
      <c r="A13" s="14" t="s">
        <v>18</v>
      </c>
      <c r="B13" s="15">
        <v>-403767.61</v>
      </c>
      <c r="C13" s="15">
        <v>-6280051.1100000003</v>
      </c>
      <c r="D13" s="15">
        <v>-14830835.609999999</v>
      </c>
      <c r="E13" s="15">
        <f>-12224851.19</f>
        <v>-12224851.189999999</v>
      </c>
      <c r="F13" s="15">
        <f>-28056827.96</f>
        <v>-28056827.960000001</v>
      </c>
      <c r="G13" s="15">
        <v>-16148678.98</v>
      </c>
      <c r="H13" s="15">
        <f>SUM(B13:G13)</f>
        <v>-77945012.459999993</v>
      </c>
    </row>
    <row r="14" spans="1:8" s="8" customFormat="1" x14ac:dyDescent="0.25">
      <c r="A14" s="12" t="s">
        <v>19</v>
      </c>
      <c r="B14" s="16">
        <v>-4784.49</v>
      </c>
      <c r="C14" s="16">
        <v>-48375.96</v>
      </c>
      <c r="D14" s="16">
        <v>14399.65</v>
      </c>
      <c r="E14" s="16">
        <v>-63295.83</v>
      </c>
      <c r="F14" s="16">
        <v>-4619748.04</v>
      </c>
      <c r="G14" s="16">
        <v>40252540.960000001</v>
      </c>
      <c r="H14" s="16">
        <f>SUM(B14:G14)</f>
        <v>35530736.289999999</v>
      </c>
    </row>
    <row r="15" spans="1:8" s="3" customFormat="1" x14ac:dyDescent="0.25">
      <c r="A15" s="17" t="s">
        <v>20</v>
      </c>
      <c r="B15" s="18">
        <f>B4+B9+B14</f>
        <v>1785719.2200000382</v>
      </c>
      <c r="C15" s="18">
        <f>C4+C9+C14</f>
        <v>-1023272.839999876</v>
      </c>
      <c r="D15" s="18">
        <f>D4+D9+D14</f>
        <v>399064.77999999525</v>
      </c>
      <c r="E15" s="18">
        <f>E4+E9+E14</f>
        <v>31863814.020000026</v>
      </c>
      <c r="F15" s="18">
        <f>F4+F9+F14</f>
        <v>-47755903.339999832</v>
      </c>
      <c r="G15" s="18">
        <f>G4+G9+G14</f>
        <v>1607770.7599999532</v>
      </c>
      <c r="H15" s="18">
        <f>SUM(B15:G15)</f>
        <v>-13122807.399999697</v>
      </c>
    </row>
    <row r="16" spans="1:8" s="8" customFormat="1" x14ac:dyDescent="0.25">
      <c r="A16" s="9" t="s">
        <v>21</v>
      </c>
      <c r="B16" s="19"/>
      <c r="C16" s="19"/>
      <c r="D16" s="19"/>
      <c r="E16" s="19"/>
      <c r="F16" s="19"/>
      <c r="G16" s="19"/>
      <c r="H16" s="20"/>
    </row>
    <row r="17" spans="1:8" s="8" customFormat="1" x14ac:dyDescent="0.25">
      <c r="A17" s="12" t="s">
        <v>9</v>
      </c>
      <c r="B17" s="13">
        <f>B18</f>
        <v>3976116.05</v>
      </c>
      <c r="C17" s="13">
        <f>C18</f>
        <v>11384162.17</v>
      </c>
      <c r="D17" s="13">
        <f>D18</f>
        <v>21437930.710000001</v>
      </c>
      <c r="E17" s="13">
        <f>E18</f>
        <v>11352497.91</v>
      </c>
      <c r="F17" s="13">
        <f>F18</f>
        <v>44318951.5</v>
      </c>
      <c r="G17" s="13">
        <f>G18</f>
        <v>33663868.390000001</v>
      </c>
      <c r="H17" s="13">
        <f>SUM(B17:G17)</f>
        <v>126133526.73</v>
      </c>
    </row>
    <row r="18" spans="1:8" s="8" customFormat="1" x14ac:dyDescent="0.25">
      <c r="A18" s="14" t="s">
        <v>12</v>
      </c>
      <c r="B18" s="15">
        <v>3976116.05</v>
      </c>
      <c r="C18" s="15">
        <v>11384162.17</v>
      </c>
      <c r="D18" s="15">
        <v>21437930.710000001</v>
      </c>
      <c r="E18" s="15">
        <v>11352497.91</v>
      </c>
      <c r="F18" s="15">
        <v>44318951.5</v>
      </c>
      <c r="G18" s="15">
        <v>33663868.390000001</v>
      </c>
      <c r="H18" s="15">
        <f>SUM(B18:G18)</f>
        <v>126133526.73</v>
      </c>
    </row>
    <row r="19" spans="1:8" s="8" customFormat="1" x14ac:dyDescent="0.25">
      <c r="A19" s="12" t="s">
        <v>14</v>
      </c>
      <c r="B19" s="13">
        <f>SUM(B20:B23)</f>
        <v>-3412683.16</v>
      </c>
      <c r="C19" s="13">
        <f>SUM(C20:C23)</f>
        <v>-8148790.3800000008</v>
      </c>
      <c r="D19" s="13">
        <f>SUM(D20:D23)</f>
        <v>-15475045.690000001</v>
      </c>
      <c r="E19" s="13">
        <f>SUM(E20:E23)</f>
        <v>-10475072.630000001</v>
      </c>
      <c r="F19" s="13">
        <f>SUM(F20:F23)</f>
        <v>-46187135.189999998</v>
      </c>
      <c r="G19" s="13">
        <f>SUM(G20:G23)</f>
        <v>-29535816.949999999</v>
      </c>
      <c r="H19" s="13">
        <f>SUM(B19:G19)</f>
        <v>-113234544.00000001</v>
      </c>
    </row>
    <row r="20" spans="1:8" s="8" customFormat="1" x14ac:dyDescent="0.25">
      <c r="A20" s="14" t="s">
        <v>15</v>
      </c>
      <c r="B20" s="15">
        <v>-1172634.19</v>
      </c>
      <c r="C20" s="15">
        <v>-2712266.65</v>
      </c>
      <c r="D20" s="15">
        <v>-3174976.39</v>
      </c>
      <c r="E20" s="15">
        <v>-3590864.85</v>
      </c>
      <c r="F20" s="15">
        <v>-19339013.039999999</v>
      </c>
      <c r="G20" s="15">
        <v>-13525039.939999999</v>
      </c>
      <c r="H20" s="15">
        <f>SUM(B20:G20)</f>
        <v>-43514795.059999995</v>
      </c>
    </row>
    <row r="21" spans="1:8" s="8" customFormat="1" x14ac:dyDescent="0.25">
      <c r="A21" s="14" t="s">
        <v>16</v>
      </c>
      <c r="B21" s="15"/>
      <c r="C21" s="15"/>
      <c r="D21" s="15"/>
      <c r="E21" s="15"/>
      <c r="F21" s="15">
        <v>-20861.93</v>
      </c>
      <c r="G21" s="15"/>
      <c r="H21" s="15">
        <f>SUM(B21:G21)</f>
        <v>-20861.93</v>
      </c>
    </row>
    <row r="22" spans="1:8" s="8" customFormat="1" x14ac:dyDescent="0.25">
      <c r="A22" s="14" t="s">
        <v>17</v>
      </c>
      <c r="B22" s="15">
        <v>-2240048.9700000002</v>
      </c>
      <c r="C22" s="15">
        <v>-5436523.7300000004</v>
      </c>
      <c r="D22" s="15">
        <v>-12300069.300000001</v>
      </c>
      <c r="E22" s="15">
        <v>-6862825.6399999997</v>
      </c>
      <c r="F22" s="15">
        <v>-26815037.539999999</v>
      </c>
      <c r="G22" s="15">
        <v>-16010777.01</v>
      </c>
      <c r="H22" s="15">
        <f>SUM(B22:G22)</f>
        <v>-69665282.189999998</v>
      </c>
    </row>
    <row r="23" spans="1:8" s="8" customFormat="1" x14ac:dyDescent="0.25">
      <c r="A23" s="14" t="s">
        <v>18</v>
      </c>
      <c r="B23" s="15"/>
      <c r="C23" s="15"/>
      <c r="D23" s="15"/>
      <c r="E23" s="15">
        <v>-21382.14</v>
      </c>
      <c r="F23" s="15">
        <v>-12222.68</v>
      </c>
      <c r="G23" s="15"/>
      <c r="H23" s="15">
        <f>SUM(B23:G23)</f>
        <v>-33604.82</v>
      </c>
    </row>
    <row r="24" spans="1:8" s="8" customFormat="1" x14ac:dyDescent="0.25">
      <c r="A24" s="12" t="s">
        <v>19</v>
      </c>
      <c r="B24" s="16"/>
      <c r="C24" s="16">
        <v>-1728.59</v>
      </c>
      <c r="D24" s="16">
        <v>-8284.83</v>
      </c>
      <c r="E24" s="16">
        <v>-2434.0500000000002</v>
      </c>
      <c r="F24" s="16">
        <v>-3562.01</v>
      </c>
      <c r="G24" s="16"/>
      <c r="H24" s="16">
        <f>SUM(B24:G24)</f>
        <v>-16009.480000000001</v>
      </c>
    </row>
    <row r="25" spans="1:8" s="3" customFormat="1" x14ac:dyDescent="0.25">
      <c r="A25" s="17" t="s">
        <v>20</v>
      </c>
      <c r="B25" s="18">
        <f>B17+B19+B24</f>
        <v>563432.88999999966</v>
      </c>
      <c r="C25" s="18">
        <f>C17+C19+C24</f>
        <v>3233643.1999999993</v>
      </c>
      <c r="D25" s="18">
        <f>D17+D19+D24</f>
        <v>5954600.1899999995</v>
      </c>
      <c r="E25" s="18">
        <f>E17+E19+E24</f>
        <v>874991.22999999928</v>
      </c>
      <c r="F25" s="18">
        <f>F17+F19+F24</f>
        <v>-1871745.6999999976</v>
      </c>
      <c r="G25" s="18">
        <f>G17+G19+G24</f>
        <v>4128051.4400000013</v>
      </c>
      <c r="H25" s="18">
        <f>SUM(B25:G25)</f>
        <v>12882973.25</v>
      </c>
    </row>
    <row r="26" spans="1:8" s="8" customFormat="1" x14ac:dyDescent="0.25">
      <c r="A26" s="9" t="s">
        <v>22</v>
      </c>
      <c r="B26" s="19"/>
      <c r="C26" s="19"/>
      <c r="D26" s="19"/>
      <c r="E26" s="19"/>
      <c r="F26" s="19"/>
      <c r="G26" s="19"/>
      <c r="H26" s="20"/>
    </row>
    <row r="27" spans="1:8" s="8" customFormat="1" x14ac:dyDescent="0.25">
      <c r="A27" s="12" t="s">
        <v>9</v>
      </c>
      <c r="B27" s="13">
        <v>0</v>
      </c>
      <c r="C27" s="13">
        <v>0</v>
      </c>
      <c r="D27" s="13">
        <f>D28+D29</f>
        <v>51443172.670000002</v>
      </c>
      <c r="E27" s="13">
        <v>0</v>
      </c>
      <c r="F27" s="13">
        <v>0</v>
      </c>
      <c r="G27" s="13">
        <v>0</v>
      </c>
      <c r="H27" s="13">
        <f>SUM(B27:G27)</f>
        <v>51443172.670000002</v>
      </c>
    </row>
    <row r="28" spans="1:8" s="8" customFormat="1" x14ac:dyDescent="0.25">
      <c r="A28" s="14" t="s">
        <v>12</v>
      </c>
      <c r="B28" s="21">
        <v>0</v>
      </c>
      <c r="C28" s="21"/>
      <c r="D28" s="21">
        <v>51929208.670000002</v>
      </c>
      <c r="E28" s="21"/>
      <c r="F28" s="21"/>
      <c r="G28" s="21"/>
      <c r="H28" s="21">
        <f>SUM(B28:G28)</f>
        <v>51929208.670000002</v>
      </c>
    </row>
    <row r="29" spans="1:8" s="8" customFormat="1" x14ac:dyDescent="0.25">
      <c r="A29" s="14" t="s">
        <v>13</v>
      </c>
      <c r="B29" s="21"/>
      <c r="C29" s="21"/>
      <c r="D29" s="21">
        <v>-486036</v>
      </c>
      <c r="E29" s="21"/>
      <c r="F29" s="21"/>
      <c r="G29" s="21"/>
      <c r="H29" s="21">
        <f>SUM(B29:G29)</f>
        <v>-486036</v>
      </c>
    </row>
    <row r="30" spans="1:8" s="8" customFormat="1" x14ac:dyDescent="0.25">
      <c r="A30" s="12" t="s">
        <v>14</v>
      </c>
      <c r="B30" s="13">
        <f>SUM(B31:B34)</f>
        <v>0</v>
      </c>
      <c r="C30" s="13">
        <f>SUM(C31:C34)</f>
        <v>0</v>
      </c>
      <c r="D30" s="13">
        <f>SUM(D31:D34)</f>
        <v>-51443172.820000008</v>
      </c>
      <c r="E30" s="13">
        <f>SUM(E31:E34)</f>
        <v>0</v>
      </c>
      <c r="F30" s="13">
        <f>SUM(F31:F34)</f>
        <v>0</v>
      </c>
      <c r="G30" s="13">
        <f>SUM(G31:G34)</f>
        <v>0</v>
      </c>
      <c r="H30" s="13">
        <f>SUM(B30:G30)</f>
        <v>-51443172.820000008</v>
      </c>
    </row>
    <row r="31" spans="1:8" s="8" customFormat="1" x14ac:dyDescent="0.25">
      <c r="A31" s="14" t="s">
        <v>15</v>
      </c>
      <c r="B31" s="15"/>
      <c r="C31" s="15"/>
      <c r="D31" s="15">
        <v>-26913935.84</v>
      </c>
      <c r="E31" s="15"/>
      <c r="F31" s="15"/>
      <c r="G31" s="15"/>
      <c r="H31" s="15">
        <f>SUM(B31:G31)</f>
        <v>-26913935.84</v>
      </c>
    </row>
    <row r="32" spans="1:8" s="8" customFormat="1" x14ac:dyDescent="0.25">
      <c r="A32" s="14" t="s">
        <v>16</v>
      </c>
      <c r="B32" s="15"/>
      <c r="C32" s="15"/>
      <c r="D32" s="15">
        <v>-7986847.8600000003</v>
      </c>
      <c r="E32" s="15"/>
      <c r="F32" s="15"/>
      <c r="G32" s="15"/>
      <c r="H32" s="15">
        <f>SUM(B32:G32)</f>
        <v>-7986847.8600000003</v>
      </c>
    </row>
    <row r="33" spans="1:8" s="8" customFormat="1" x14ac:dyDescent="0.25">
      <c r="A33" s="14" t="s">
        <v>17</v>
      </c>
      <c r="B33" s="15"/>
      <c r="C33" s="15"/>
      <c r="D33" s="15">
        <v>-14465495.09</v>
      </c>
      <c r="E33" s="15"/>
      <c r="F33" s="15"/>
      <c r="G33" s="15"/>
      <c r="H33" s="15">
        <f>SUM(B33:G33)</f>
        <v>-14465495.09</v>
      </c>
    </row>
    <row r="34" spans="1:8" s="8" customFormat="1" x14ac:dyDescent="0.25">
      <c r="A34" s="14" t="s">
        <v>18</v>
      </c>
      <c r="B34" s="15"/>
      <c r="C34" s="15"/>
      <c r="D34" s="15">
        <v>-2076894.03</v>
      </c>
      <c r="E34" s="15"/>
      <c r="F34" s="15"/>
      <c r="G34" s="15"/>
      <c r="H34" s="15">
        <f>SUM(B34:G34)</f>
        <v>-2076894.03</v>
      </c>
    </row>
    <row r="35" spans="1:8" s="8" customFormat="1" x14ac:dyDescent="0.25">
      <c r="A35" s="12" t="s">
        <v>19</v>
      </c>
      <c r="B35" s="22"/>
      <c r="C35" s="22"/>
      <c r="D35" s="22"/>
      <c r="E35" s="22"/>
      <c r="F35" s="22"/>
      <c r="G35" s="22"/>
      <c r="H35" s="22">
        <f>SUM(B35:G35)</f>
        <v>0</v>
      </c>
    </row>
    <row r="36" spans="1:8" s="3" customFormat="1" x14ac:dyDescent="0.25">
      <c r="A36" s="17" t="s">
        <v>20</v>
      </c>
      <c r="B36" s="18">
        <f>B27+B30+B35</f>
        <v>0</v>
      </c>
      <c r="C36" s="18">
        <f>C27+C30+C35</f>
        <v>0</v>
      </c>
      <c r="D36" s="18">
        <f>D27+D30+D35</f>
        <v>-0.15000000596046448</v>
      </c>
      <c r="E36" s="18">
        <f>E27+E30+E35</f>
        <v>0</v>
      </c>
      <c r="F36" s="18">
        <f>F27+F30+F35</f>
        <v>0</v>
      </c>
      <c r="G36" s="18">
        <f>G27+G30+G35</f>
        <v>0</v>
      </c>
      <c r="H36" s="18">
        <f>SUM(B36:G36)</f>
        <v>-0.15000000596046448</v>
      </c>
    </row>
    <row r="37" spans="1:8" s="8" customFormat="1" x14ac:dyDescent="0.25">
      <c r="A37" s="9" t="s">
        <v>23</v>
      </c>
      <c r="B37" s="19"/>
      <c r="C37" s="19"/>
      <c r="D37" s="19"/>
      <c r="E37" s="19"/>
      <c r="F37" s="19"/>
      <c r="G37" s="19"/>
      <c r="H37" s="20"/>
    </row>
    <row r="38" spans="1:8" s="8" customFormat="1" x14ac:dyDescent="0.25">
      <c r="A38" s="12" t="s">
        <v>9</v>
      </c>
      <c r="B38" s="16">
        <f>B39+B40</f>
        <v>179335902.59999999</v>
      </c>
      <c r="C38" s="16">
        <f>C39+C40</f>
        <v>192244689.5</v>
      </c>
      <c r="D38" s="16">
        <f>D39+D40</f>
        <v>406774788.31999999</v>
      </c>
      <c r="E38" s="16">
        <f>E39+E40</f>
        <v>581312340.39999998</v>
      </c>
      <c r="F38" s="16">
        <f>F39+F40</f>
        <v>503416554.14999998</v>
      </c>
      <c r="G38" s="16">
        <f>G39+G40</f>
        <v>21077036.84</v>
      </c>
      <c r="H38" s="16">
        <f>H39+H40</f>
        <v>1884161311.8099999</v>
      </c>
    </row>
    <row r="39" spans="1:8" s="8" customFormat="1" x14ac:dyDescent="0.25">
      <c r="A39" s="14" t="s">
        <v>11</v>
      </c>
      <c r="B39" s="15">
        <v>178987766.19</v>
      </c>
      <c r="C39" s="15">
        <v>192046680.69</v>
      </c>
      <c r="D39" s="15">
        <v>398404524.81</v>
      </c>
      <c r="E39" s="15">
        <v>575565163.25</v>
      </c>
      <c r="F39" s="15">
        <v>503032484.57999998</v>
      </c>
      <c r="G39" s="15">
        <v>21077036.84</v>
      </c>
      <c r="H39" s="15">
        <f>SUM(B39:G39)</f>
        <v>1869113656.3599999</v>
      </c>
    </row>
    <row r="40" spans="1:8" s="8" customFormat="1" x14ac:dyDescent="0.25">
      <c r="A40" s="14" t="s">
        <v>12</v>
      </c>
      <c r="B40" s="15">
        <v>348136.41</v>
      </c>
      <c r="C40" s="15">
        <v>198008.81</v>
      </c>
      <c r="D40" s="15">
        <v>8370263.5099999998</v>
      </c>
      <c r="E40" s="15">
        <v>5747177.1500000004</v>
      </c>
      <c r="F40" s="15">
        <v>384069.57</v>
      </c>
      <c r="G40" s="15"/>
      <c r="H40" s="15">
        <f>SUM(B40:G40)</f>
        <v>15047655.450000001</v>
      </c>
    </row>
    <row r="41" spans="1:8" s="8" customFormat="1" x14ac:dyDescent="0.25">
      <c r="A41" s="12" t="s">
        <v>14</v>
      </c>
      <c r="B41" s="16">
        <f>SUM(B42:B45)</f>
        <v>-179332623.22</v>
      </c>
      <c r="C41" s="16">
        <f>SUM(C42:C45)</f>
        <v>-192242835.54000002</v>
      </c>
      <c r="D41" s="16">
        <f>SUM(D42:D45)</f>
        <v>-406696753.11999995</v>
      </c>
      <c r="E41" s="16">
        <f>SUM(E42:E45)</f>
        <v>-581321728.83000004</v>
      </c>
      <c r="F41" s="16">
        <f>SUM(F42:F45)</f>
        <v>-503401503.67000002</v>
      </c>
      <c r="G41" s="16">
        <f>SUM(G42:G45)</f>
        <v>-21139436.620000001</v>
      </c>
      <c r="H41" s="16">
        <f>SUM(B41:G41)</f>
        <v>-1884134881</v>
      </c>
    </row>
    <row r="42" spans="1:8" s="8" customFormat="1" x14ac:dyDescent="0.25">
      <c r="A42" s="14" t="s">
        <v>15</v>
      </c>
      <c r="B42" s="15">
        <v>-126615523.69</v>
      </c>
      <c r="C42" s="15">
        <v>-140757211.19</v>
      </c>
      <c r="D42" s="15">
        <v>-218946575.75</v>
      </c>
      <c r="E42" s="15">
        <v>-348036217.54000002</v>
      </c>
      <c r="F42" s="15">
        <v>-295248239.92000002</v>
      </c>
      <c r="G42" s="15">
        <v>-17195308.710000001</v>
      </c>
      <c r="H42" s="15">
        <f>SUM(B42:G42)</f>
        <v>-1146799076.8000002</v>
      </c>
    </row>
    <row r="43" spans="1:8" s="8" customFormat="1" x14ac:dyDescent="0.25">
      <c r="A43" s="14" t="s">
        <v>16</v>
      </c>
      <c r="B43" s="15">
        <v>-487683.56</v>
      </c>
      <c r="C43" s="15">
        <v>4730.22</v>
      </c>
      <c r="D43" s="15">
        <v>-624610.51</v>
      </c>
      <c r="E43" s="15">
        <v>-730548.07</v>
      </c>
      <c r="F43" s="15">
        <v>-186337.95</v>
      </c>
      <c r="G43" s="15"/>
      <c r="H43" s="15">
        <f>SUM(B43:G43)</f>
        <v>-2024449.8699999999</v>
      </c>
    </row>
    <row r="44" spans="1:8" s="8" customFormat="1" x14ac:dyDescent="0.25">
      <c r="A44" s="14" t="s">
        <v>17</v>
      </c>
      <c r="B44" s="15">
        <v>-52139601.039999999</v>
      </c>
      <c r="C44" s="15">
        <v>-51296218.700000003</v>
      </c>
      <c r="D44" s="15">
        <v>-162806009.53999999</v>
      </c>
      <c r="E44" s="15">
        <v>-192391275.06999999</v>
      </c>
      <c r="F44" s="15">
        <v>-202619825.55000001</v>
      </c>
      <c r="G44" s="15">
        <v>-2773953.91</v>
      </c>
      <c r="H44" s="15">
        <f>SUM(B44:G44)</f>
        <v>-664026883.81000006</v>
      </c>
    </row>
    <row r="45" spans="1:8" s="8" customFormat="1" x14ac:dyDescent="0.25">
      <c r="A45" s="14" t="s">
        <v>18</v>
      </c>
      <c r="B45" s="15">
        <v>-89814.93</v>
      </c>
      <c r="C45" s="15">
        <v>-194135.87</v>
      </c>
      <c r="D45" s="15">
        <v>-24319557.32</v>
      </c>
      <c r="E45" s="15">
        <v>-40163688.149999999</v>
      </c>
      <c r="F45" s="15">
        <v>-5347100.25</v>
      </c>
      <c r="G45" s="15">
        <v>-1170174</v>
      </c>
      <c r="H45" s="15">
        <f>SUM(B45:G45)</f>
        <v>-71284470.519999996</v>
      </c>
    </row>
    <row r="46" spans="1:8" s="8" customFormat="1" x14ac:dyDescent="0.25">
      <c r="A46" s="12" t="s">
        <v>19</v>
      </c>
      <c r="B46" s="13">
        <v>-3484.63</v>
      </c>
      <c r="C46" s="13">
        <v>-1457.31</v>
      </c>
      <c r="D46" s="13">
        <v>-80379.7</v>
      </c>
      <c r="E46" s="13">
        <v>14266.4</v>
      </c>
      <c r="F46" s="13">
        <v>44919</v>
      </c>
      <c r="G46" s="13"/>
      <c r="H46" s="13">
        <f>SUM(B46:G46)</f>
        <v>-26136.240000000005</v>
      </c>
    </row>
    <row r="47" spans="1:8" s="3" customFormat="1" x14ac:dyDescent="0.25">
      <c r="A47" s="23" t="s">
        <v>20</v>
      </c>
      <c r="B47" s="24">
        <f>B38+B41+B46</f>
        <v>-205.25000000476848</v>
      </c>
      <c r="C47" s="24">
        <f>C38+C41+C46</f>
        <v>396.64999997854238</v>
      </c>
      <c r="D47" s="24">
        <f>D38+D41+D46</f>
        <v>-2344.4999999523134</v>
      </c>
      <c r="E47" s="24">
        <f>E38+E41+E46</f>
        <v>4877.9699999332424</v>
      </c>
      <c r="F47" s="24">
        <f>F38+F41+F46</f>
        <v>59969.479999959469</v>
      </c>
      <c r="G47" s="24">
        <f>G38+G41+G46</f>
        <v>-62399.780000001192</v>
      </c>
      <c r="H47" s="24">
        <f>SUM(B47:G47)</f>
        <v>294.56999991297926</v>
      </c>
    </row>
    <row r="48" spans="1:8" s="3" customFormat="1" x14ac:dyDescent="0.25">
      <c r="A48" s="25"/>
      <c r="B48" s="26"/>
      <c r="C48" s="26"/>
      <c r="D48" s="26"/>
      <c r="E48" s="26"/>
      <c r="F48" s="26"/>
      <c r="G48" s="26"/>
      <c r="H48" s="27"/>
    </row>
    <row r="49" spans="1:8" s="3" customFormat="1" x14ac:dyDescent="0.25">
      <c r="A49" s="28"/>
      <c r="B49" s="29"/>
      <c r="C49" s="29"/>
      <c r="D49" s="29"/>
      <c r="E49" s="29"/>
      <c r="F49" s="29"/>
      <c r="G49" s="29"/>
      <c r="H49" s="30"/>
    </row>
    <row r="50" spans="1:8" s="8" customFormat="1" ht="29.1" customHeight="1" x14ac:dyDescent="0.25">
      <c r="A50" s="4" t="s">
        <v>24</v>
      </c>
      <c r="B50" s="31" t="s">
        <v>1</v>
      </c>
      <c r="C50" s="31" t="s">
        <v>2</v>
      </c>
      <c r="D50" s="31" t="s">
        <v>3</v>
      </c>
      <c r="E50" s="6" t="s">
        <v>4</v>
      </c>
      <c r="F50" s="6" t="s">
        <v>5</v>
      </c>
      <c r="G50" s="31" t="s">
        <v>6</v>
      </c>
      <c r="H50" s="32" t="s">
        <v>7</v>
      </c>
    </row>
    <row r="51" spans="1:8" s="8" customFormat="1" x14ac:dyDescent="0.25">
      <c r="A51" s="33" t="s">
        <v>25</v>
      </c>
      <c r="B51" s="34"/>
      <c r="C51" s="34"/>
      <c r="D51" s="34"/>
      <c r="E51" s="34"/>
      <c r="F51" s="34"/>
      <c r="G51" s="34"/>
      <c r="H51" s="35"/>
    </row>
    <row r="52" spans="1:8" s="8" customFormat="1" x14ac:dyDescent="0.25">
      <c r="A52" s="12" t="s">
        <v>9</v>
      </c>
      <c r="B52" s="13">
        <f>B53+B54</f>
        <v>3983819.75</v>
      </c>
      <c r="C52" s="13">
        <f>C53+C54</f>
        <v>6467937.3200000003</v>
      </c>
      <c r="D52" s="13">
        <f>D53+D54</f>
        <v>6532638.25</v>
      </c>
      <c r="E52" s="13">
        <f>E53+E54</f>
        <v>13500911.109999999</v>
      </c>
      <c r="F52" s="13">
        <f>F53+F54</f>
        <v>17783764.32</v>
      </c>
      <c r="G52" s="13">
        <f>G53+G54</f>
        <v>67189856.609999999</v>
      </c>
      <c r="H52" s="13">
        <f>H53+H54</f>
        <v>115458927.36</v>
      </c>
    </row>
    <row r="53" spans="1:8" s="8" customFormat="1" x14ac:dyDescent="0.25">
      <c r="A53" s="14" t="s">
        <v>11</v>
      </c>
      <c r="B53" s="15">
        <v>3975948.46</v>
      </c>
      <c r="C53" s="15">
        <v>6439852.3200000003</v>
      </c>
      <c r="D53" s="15">
        <v>6483392.3799999999</v>
      </c>
      <c r="E53" s="15">
        <v>13232671.109999999</v>
      </c>
      <c r="F53" s="15">
        <v>17731505.52</v>
      </c>
      <c r="G53" s="15">
        <v>66695348.07</v>
      </c>
      <c r="H53" s="15">
        <f>SUM(B53:G53)</f>
        <v>114558717.86</v>
      </c>
    </row>
    <row r="54" spans="1:8" s="8" customFormat="1" x14ac:dyDescent="0.25">
      <c r="A54" s="14" t="s">
        <v>12</v>
      </c>
      <c r="B54" s="15">
        <v>7871.29</v>
      </c>
      <c r="C54" s="15">
        <v>28085</v>
      </c>
      <c r="D54" s="15">
        <v>49245.87</v>
      </c>
      <c r="E54" s="15">
        <v>268240</v>
      </c>
      <c r="F54" s="15">
        <v>52258.8</v>
      </c>
      <c r="G54" s="15">
        <v>494508.54</v>
      </c>
      <c r="H54" s="15">
        <f>SUM(B54:G54)</f>
        <v>900209.5</v>
      </c>
    </row>
    <row r="55" spans="1:8" s="8" customFormat="1" x14ac:dyDescent="0.25">
      <c r="A55" s="12" t="s">
        <v>14</v>
      </c>
      <c r="B55" s="13">
        <f>SUM(B56:B59)</f>
        <v>-3983576.61</v>
      </c>
      <c r="C55" s="13">
        <f>SUM(C56:C59)</f>
        <v>-6467896.7300000004</v>
      </c>
      <c r="D55" s="13">
        <f>SUM(D56:D59)</f>
        <v>-6532638.25</v>
      </c>
      <c r="E55" s="13">
        <f>SUM(E56:E59)</f>
        <v>-13505866.98</v>
      </c>
      <c r="F55" s="13">
        <f>SUM(F56:F59)</f>
        <v>-17783499.460000001</v>
      </c>
      <c r="G55" s="13">
        <f>SUM(G56:G59)</f>
        <v>-67191177.359999999</v>
      </c>
      <c r="H55" s="13">
        <f>SUM(B55:G55)</f>
        <v>-115464655.39</v>
      </c>
    </row>
    <row r="56" spans="1:8" s="8" customFormat="1" x14ac:dyDescent="0.25">
      <c r="A56" s="14" t="s">
        <v>15</v>
      </c>
      <c r="B56" s="15">
        <v>-2691796.3</v>
      </c>
      <c r="C56" s="15">
        <v>-3089736.46</v>
      </c>
      <c r="D56" s="15">
        <v>-4851401.5599999996</v>
      </c>
      <c r="E56" s="15">
        <v>-7954484.5300000003</v>
      </c>
      <c r="F56" s="15">
        <v>-7144220.0999999996</v>
      </c>
      <c r="G56" s="15">
        <v>-23077823.43</v>
      </c>
      <c r="H56" s="15">
        <f>SUM(B56:G56)</f>
        <v>-48809462.380000003</v>
      </c>
    </row>
    <row r="57" spans="1:8" s="8" customFormat="1" x14ac:dyDescent="0.25">
      <c r="A57" s="14" t="s">
        <v>16</v>
      </c>
      <c r="B57" s="15"/>
      <c r="C57" s="15"/>
      <c r="D57" s="15">
        <v>-1046</v>
      </c>
      <c r="E57" s="15"/>
      <c r="F57" s="15"/>
      <c r="G57" s="15">
        <v>-894.04</v>
      </c>
      <c r="H57" s="15">
        <f>SUM(B57:G57)</f>
        <v>-1940.04</v>
      </c>
    </row>
    <row r="58" spans="1:8" s="8" customFormat="1" x14ac:dyDescent="0.25">
      <c r="A58" s="14" t="s">
        <v>17</v>
      </c>
      <c r="B58" s="15">
        <v>-1291780.31</v>
      </c>
      <c r="C58" s="15">
        <v>-3378160.27</v>
      </c>
      <c r="D58" s="15">
        <v>-1680190.69</v>
      </c>
      <c r="E58" s="15">
        <v>-5367549.5</v>
      </c>
      <c r="F58" s="15">
        <v>-10639279.359999999</v>
      </c>
      <c r="G58" s="15">
        <v>-44020566.210000001</v>
      </c>
      <c r="H58" s="15">
        <f>SUM(B58:G58)</f>
        <v>-66377526.340000004</v>
      </c>
    </row>
    <row r="59" spans="1:8" s="8" customFormat="1" x14ac:dyDescent="0.25">
      <c r="A59" s="14" t="s">
        <v>18</v>
      </c>
      <c r="B59" s="15"/>
      <c r="C59" s="15"/>
      <c r="D59" s="15"/>
      <c r="E59" s="15">
        <v>-183832.95</v>
      </c>
      <c r="F59" s="15"/>
      <c r="G59" s="15">
        <v>-91893.68</v>
      </c>
      <c r="H59" s="15">
        <f>SUM(B59:G59)</f>
        <v>-275726.63</v>
      </c>
    </row>
    <row r="60" spans="1:8" s="8" customFormat="1" x14ac:dyDescent="0.25">
      <c r="A60" s="12" t="s">
        <v>19</v>
      </c>
      <c r="B60" s="16">
        <v>-243.14</v>
      </c>
      <c r="C60" s="16"/>
      <c r="D60" s="16">
        <v>0</v>
      </c>
      <c r="E60" s="16">
        <v>4646.84</v>
      </c>
      <c r="F60" s="16">
        <v>-264.86</v>
      </c>
      <c r="G60" s="16">
        <v>1452.14</v>
      </c>
      <c r="H60" s="16">
        <f>SUM(B60:G60)</f>
        <v>5590.9800000000005</v>
      </c>
    </row>
    <row r="61" spans="1:8" s="3" customFormat="1" x14ac:dyDescent="0.25">
      <c r="A61" s="17" t="s">
        <v>20</v>
      </c>
      <c r="B61" s="18">
        <f>B52+B55+B60</f>
        <v>1.3039880286669359E-10</v>
      </c>
      <c r="C61" s="18">
        <f>C52+C55+C60</f>
        <v>40.589999999850988</v>
      </c>
      <c r="D61" s="18">
        <f>D52+D55+D60</f>
        <v>0</v>
      </c>
      <c r="E61" s="18">
        <f>E52+E55+E60</f>
        <v>-309.03000000104294</v>
      </c>
      <c r="F61" s="18">
        <f>F52+F55+F60</f>
        <v>-5.9606009017443284E-10</v>
      </c>
      <c r="G61" s="18">
        <f>G52+G55+G60</f>
        <v>131.3900000000001</v>
      </c>
      <c r="H61" s="18">
        <f>SUM(B61:G61)</f>
        <v>-137.05000000165751</v>
      </c>
    </row>
    <row r="62" spans="1:8" s="8" customFormat="1" x14ac:dyDescent="0.25">
      <c r="A62" s="9" t="s">
        <v>26</v>
      </c>
      <c r="B62" s="36"/>
      <c r="C62" s="36"/>
      <c r="D62" s="36"/>
      <c r="E62" s="36"/>
      <c r="F62" s="36"/>
      <c r="G62" s="36"/>
      <c r="H62" s="37"/>
    </row>
    <row r="63" spans="1:8" s="8" customFormat="1" x14ac:dyDescent="0.25">
      <c r="A63" s="12" t="s">
        <v>9</v>
      </c>
      <c r="B63" s="38">
        <f>SUM(B64:B67)</f>
        <v>905604036.49000001</v>
      </c>
      <c r="C63" s="38">
        <f>SUM(C64:C67)</f>
        <v>958457500.98000002</v>
      </c>
      <c r="D63" s="38">
        <f>SUM(D64:D67)</f>
        <v>1282757760.8399999</v>
      </c>
      <c r="E63" s="38">
        <f>SUM(E64:E67)</f>
        <v>1215964756.4099998</v>
      </c>
      <c r="F63" s="38">
        <f>SUM(F64:F67)</f>
        <v>1317238302.5999999</v>
      </c>
      <c r="G63" s="38">
        <f>SUM(G64:G67)</f>
        <v>980427710.97000003</v>
      </c>
      <c r="H63" s="38">
        <f>SUM(H64:H67)</f>
        <v>6660450068.2900009</v>
      </c>
    </row>
    <row r="64" spans="1:8" s="8" customFormat="1" x14ac:dyDescent="0.25">
      <c r="A64" s="14" t="s">
        <v>10</v>
      </c>
      <c r="B64" s="39">
        <f>B5</f>
        <v>845033074.96000004</v>
      </c>
      <c r="C64" s="39">
        <f>C5</f>
        <v>868760152.69000006</v>
      </c>
      <c r="D64" s="39">
        <f>D5</f>
        <v>913768841.24000001</v>
      </c>
      <c r="E64" s="39">
        <f>E5</f>
        <v>740358563.58000004</v>
      </c>
      <c r="F64" s="39">
        <f>F5</f>
        <v>844137092.75999999</v>
      </c>
      <c r="G64" s="39">
        <f>G5</f>
        <v>25256279.84</v>
      </c>
      <c r="H64" s="39">
        <f>SUM(B64:G64)</f>
        <v>4237314005.0700006</v>
      </c>
    </row>
    <row r="65" spans="1:9" s="8" customFormat="1" x14ac:dyDescent="0.25">
      <c r="A65" s="14" t="s">
        <v>11</v>
      </c>
      <c r="B65" s="39">
        <f>B6+B39+B53</f>
        <v>182963714.65000001</v>
      </c>
      <c r="C65" s="39">
        <f>C6+C39+C53</f>
        <v>198486533.00999999</v>
      </c>
      <c r="D65" s="39">
        <f>D6+D39+D53</f>
        <v>404887406.86000001</v>
      </c>
      <c r="E65" s="39">
        <f>E6+E39+E53</f>
        <v>588797654.46000004</v>
      </c>
      <c r="F65" s="39">
        <f>F6+F39+F53</f>
        <v>520763663.32999998</v>
      </c>
      <c r="G65" s="39">
        <f>G6+G39+G53</f>
        <v>87772384.909999996</v>
      </c>
      <c r="H65" s="39">
        <f>SUM(B65:G65)</f>
        <v>1983671357.22</v>
      </c>
    </row>
    <row r="66" spans="1:9" s="8" customFormat="1" x14ac:dyDescent="0.25">
      <c r="A66" s="14" t="s">
        <v>12</v>
      </c>
      <c r="B66" s="39">
        <f>B7+B18+B28+B40+B54</f>
        <v>38515824.399999991</v>
      </c>
      <c r="C66" s="39">
        <f>C7+C18+C28+C40+C54</f>
        <v>62721097.310000002</v>
      </c>
      <c r="D66" s="39">
        <f>D7+D18+D28+D40+D54</f>
        <v>133905738.03000002</v>
      </c>
      <c r="E66" s="39">
        <f>E7+E18+E28+E40+E54</f>
        <v>29860243.600000001</v>
      </c>
      <c r="F66" s="39">
        <f>F7+F18+F28+F40+F54</f>
        <v>108047184.20999999</v>
      </c>
      <c r="G66" s="39">
        <f>G7+G18+G28+G40+G54</f>
        <v>66414618.210000001</v>
      </c>
      <c r="H66" s="39">
        <f>SUM(B66:G66)</f>
        <v>439464705.75999999</v>
      </c>
    </row>
    <row r="67" spans="1:9" s="8" customFormat="1" x14ac:dyDescent="0.25">
      <c r="A67" s="14" t="s">
        <v>13</v>
      </c>
      <c r="B67" s="39">
        <f>B8+B29</f>
        <v>-160908577.52000001</v>
      </c>
      <c r="C67" s="39">
        <f>C8+C29</f>
        <v>-171510282.03</v>
      </c>
      <c r="D67" s="39">
        <f>D8+D29</f>
        <v>-169804225.28999999</v>
      </c>
      <c r="E67" s="39">
        <f>E8+E29</f>
        <v>-143051705.22999999</v>
      </c>
      <c r="F67" s="39">
        <f>F8+F29</f>
        <v>-155709637.69999999</v>
      </c>
      <c r="G67" s="39">
        <f>G8+G29</f>
        <v>800984428.00999999</v>
      </c>
      <c r="H67" s="39">
        <f>SUM(B67:G67)</f>
        <v>0.24000000953674316</v>
      </c>
      <c r="I67" s="40"/>
    </row>
    <row r="68" spans="1:9" s="8" customFormat="1" x14ac:dyDescent="0.25">
      <c r="A68" s="12" t="s">
        <v>14</v>
      </c>
      <c r="B68" s="38">
        <f>SUM(B69:B72)</f>
        <v>-903246577.36999989</v>
      </c>
      <c r="C68" s="38">
        <f>SUM(C69:C72)</f>
        <v>-956195131.52000022</v>
      </c>
      <c r="D68" s="38">
        <f>SUM(D69:D72)</f>
        <v>-1276332175.6400001</v>
      </c>
      <c r="E68" s="38">
        <f>SUM(E69:E72)</f>
        <v>-1183174565.5800002</v>
      </c>
      <c r="F68" s="38">
        <f>SUM(F69:F72)</f>
        <v>-1362227326.2500002</v>
      </c>
      <c r="G68" s="38">
        <f>SUM(G69:G72)</f>
        <v>-1015008150.26</v>
      </c>
      <c r="H68" s="38">
        <f>SUM(B68:G68)</f>
        <v>-6696183926.6200008</v>
      </c>
      <c r="I68" s="40"/>
    </row>
    <row r="69" spans="1:9" s="8" customFormat="1" x14ac:dyDescent="0.25">
      <c r="A69" s="14" t="s">
        <v>15</v>
      </c>
      <c r="B69" s="41">
        <f>B10+B20+B31+B42+B56</f>
        <v>-715505600.78999996</v>
      </c>
      <c r="C69" s="41">
        <f>C10+C20+C31+C42+C56</f>
        <v>-791647840.42000008</v>
      </c>
      <c r="D69" s="41">
        <f>D10+D20+D31+D42+D56</f>
        <v>-842247664.25999999</v>
      </c>
      <c r="E69" s="41">
        <f>E10+E20+E31+E42+E56</f>
        <v>-778330995.04999995</v>
      </c>
      <c r="F69" s="41">
        <f>F10+F20+F31+F42+F56</f>
        <v>-944400799.60000002</v>
      </c>
      <c r="G69" s="41">
        <f>G10+G20+G31+G42+G56</f>
        <v>-460872308.99000001</v>
      </c>
      <c r="H69" s="41">
        <f>SUM(B69:G69)</f>
        <v>-4533005209.1100006</v>
      </c>
      <c r="I69" s="40"/>
    </row>
    <row r="70" spans="1:9" s="8" customFormat="1" x14ac:dyDescent="0.25">
      <c r="A70" s="14" t="s">
        <v>16</v>
      </c>
      <c r="B70" s="41">
        <f>B11+B21+B32+B43+B57</f>
        <v>-107245224.04000001</v>
      </c>
      <c r="C70" s="41">
        <f>C11+C21+C32+C43+C57</f>
        <v>-94991724.439999998</v>
      </c>
      <c r="D70" s="41">
        <f>D11+D21+D32+D43+D57</f>
        <v>-150783210.94</v>
      </c>
      <c r="E70" s="41">
        <f>E11+E21+E32+E43+E57</f>
        <v>-199722828.47</v>
      </c>
      <c r="F70" s="41">
        <f>F11+F21+F32+F43+F57</f>
        <v>-196383178.53</v>
      </c>
      <c r="G70" s="41">
        <f>G11+G21+G32+G43+G57</f>
        <v>-160993391.47999999</v>
      </c>
      <c r="H70" s="41">
        <f>SUM(B70:G70)</f>
        <v>-910119557.89999998</v>
      </c>
      <c r="I70" s="40"/>
    </row>
    <row r="71" spans="1:9" s="3" customFormat="1" x14ac:dyDescent="0.25">
      <c r="A71" s="14" t="s">
        <v>17</v>
      </c>
      <c r="B71" s="41">
        <f>B12+B22+B33+B44+B58</f>
        <v>-80002170</v>
      </c>
      <c r="C71" s="41">
        <f>C12+C22+C33+C44+C58</f>
        <v>-63081379.680000007</v>
      </c>
      <c r="D71" s="41">
        <f>D12+D22+D33+D44+D58</f>
        <v>-242074013.47999999</v>
      </c>
      <c r="E71" s="41">
        <f>E12+E22+E33+E44+E58</f>
        <v>-152526987.63</v>
      </c>
      <c r="F71" s="41">
        <f>F12+F22+F33+F44+F58</f>
        <v>-188027197.23000002</v>
      </c>
      <c r="G71" s="41">
        <f>G12+G22+G33+G44+G58</f>
        <v>-375731703.13</v>
      </c>
      <c r="H71" s="41">
        <f>SUM(B71:G71)</f>
        <v>-1101443451.1500001</v>
      </c>
    </row>
    <row r="72" spans="1:9" s="3" customFormat="1" x14ac:dyDescent="0.25">
      <c r="A72" s="14" t="s">
        <v>18</v>
      </c>
      <c r="B72" s="41">
        <f>B13+B23+B34+B45+B59</f>
        <v>-493582.54</v>
      </c>
      <c r="C72" s="41">
        <f>C13+C23+C34+C45+C59</f>
        <v>-6474186.9800000004</v>
      </c>
      <c r="D72" s="41">
        <f>D13+D23+D34+D45+D59</f>
        <v>-41227286.960000001</v>
      </c>
      <c r="E72" s="41">
        <f>E13+E23+E34+E45+E59</f>
        <v>-52593754.43</v>
      </c>
      <c r="F72" s="41">
        <f>F13+F23+F34+F45+F59</f>
        <v>-33416150.890000001</v>
      </c>
      <c r="G72" s="41">
        <f>G13+G23+G34+G45+G59</f>
        <v>-17410746.66</v>
      </c>
      <c r="H72" s="41">
        <f>SUM(B72:G72)</f>
        <v>-151615708.46000001</v>
      </c>
    </row>
    <row r="73" spans="1:9" s="8" customFormat="1" x14ac:dyDescent="0.25">
      <c r="A73" s="12" t="s">
        <v>19</v>
      </c>
      <c r="B73" s="38">
        <f>B14+B24+B35+B46+B60</f>
        <v>-8512.2599999999984</v>
      </c>
      <c r="C73" s="38">
        <f>C14+C24+C35+C46+C60</f>
        <v>-51561.859999999993</v>
      </c>
      <c r="D73" s="38">
        <f>D14+D24+D35+D46+D60</f>
        <v>-74264.88</v>
      </c>
      <c r="E73" s="38">
        <f>E14+E24+E35+E46+E60</f>
        <v>-46816.639999999999</v>
      </c>
      <c r="F73" s="38">
        <f>F14+F24+F35+F46+F60</f>
        <v>-4578655.91</v>
      </c>
      <c r="G73" s="38">
        <f>G14+G24+G35+G46+G60</f>
        <v>40253993.100000001</v>
      </c>
      <c r="H73" s="38">
        <f>SUM(B73:G73)</f>
        <v>35494181.550000004</v>
      </c>
      <c r="I73" s="40"/>
    </row>
    <row r="74" spans="1:9" s="8" customFormat="1" x14ac:dyDescent="0.25">
      <c r="A74" s="17" t="s">
        <v>27</v>
      </c>
      <c r="B74" s="42">
        <f>SUM(B63,B68,B73)</f>
        <v>2348946.8600001242</v>
      </c>
      <c r="C74" s="42">
        <f>SUM(C63,C68,C73)</f>
        <v>2210807.5999997999</v>
      </c>
      <c r="D74" s="42">
        <f>SUM(D63,D68,D73)</f>
        <v>6351320.3199998094</v>
      </c>
      <c r="E74" s="42">
        <f>SUM(E63,E68,E73)</f>
        <v>32743374.189999685</v>
      </c>
      <c r="F74" s="42">
        <f>SUM(F63,F68,F73)</f>
        <v>-49567679.56000033</v>
      </c>
      <c r="G74" s="42">
        <f>SUM(G63,G68,G73)</f>
        <v>5673553.8100000396</v>
      </c>
      <c r="H74" s="42">
        <f>SUM(B74:G74)</f>
        <v>-239676.78000087291</v>
      </c>
    </row>
    <row r="75" spans="1:9" s="8" customFormat="1" x14ac:dyDescent="0.25">
      <c r="A75" s="43" t="s">
        <v>28</v>
      </c>
      <c r="B75" s="44">
        <f>B69/B68</f>
        <v>0.79214869861267689</v>
      </c>
      <c r="C75" s="44">
        <f>C69/C68</f>
        <v>0.82791452740568738</v>
      </c>
      <c r="D75" s="44">
        <f>D69/D68</f>
        <v>0.65989691424778651</v>
      </c>
      <c r="E75" s="44">
        <f>E69/E68</f>
        <v>0.65783276423665926</v>
      </c>
      <c r="F75" s="44">
        <f>F69/F68</f>
        <v>0.69327694533906348</v>
      </c>
      <c r="G75" s="44">
        <f>G69/G68</f>
        <v>0.45405774216881412</v>
      </c>
      <c r="H75" s="44">
        <f>H69/H68</f>
        <v>0.67695350945924548</v>
      </c>
    </row>
    <row r="76" spans="1:9" s="8" customFormat="1" x14ac:dyDescent="0.25">
      <c r="B76" s="45"/>
      <c r="C76" s="45"/>
      <c r="D76" s="45"/>
      <c r="E76" s="45"/>
      <c r="F76" s="45"/>
      <c r="G76" s="45"/>
      <c r="H76" s="46"/>
    </row>
    <row r="77" spans="1:9" s="8" customFormat="1" x14ac:dyDescent="0.25">
      <c r="A77" s="47" t="s">
        <v>29</v>
      </c>
      <c r="B77" s="40"/>
      <c r="C77" s="40"/>
      <c r="D77" s="40"/>
      <c r="E77" s="40"/>
      <c r="F77" s="40"/>
      <c r="G77" s="40"/>
      <c r="H77" s="40"/>
    </row>
    <row r="79" spans="1:9" s="8" customFormat="1" x14ac:dyDescent="0.25">
      <c r="A79" s="48"/>
      <c r="B79" s="40"/>
      <c r="C79" s="40"/>
      <c r="D79" s="40"/>
      <c r="E79" s="40"/>
      <c r="F79" s="40"/>
      <c r="G79" s="40"/>
      <c r="H79" s="40"/>
    </row>
    <row r="80" spans="1:9" s="8" customFormat="1" x14ac:dyDescent="0.25">
      <c r="A80" s="48"/>
      <c r="B80" s="40"/>
      <c r="C80" s="40"/>
      <c r="D80" s="40"/>
      <c r="E80" s="40"/>
      <c r="F80" s="40"/>
      <c r="G80" s="40"/>
      <c r="H80" s="40"/>
    </row>
  </sheetData>
  <mergeCells count="6">
    <mergeCell ref="A3:H3"/>
    <mergeCell ref="A16:H16"/>
    <mergeCell ref="A26:H26"/>
    <mergeCell ref="A37:H37"/>
    <mergeCell ref="A51:H51"/>
    <mergeCell ref="A62:H62"/>
  </mergeCells>
  <pageMargins left="0.23622047244094491" right="0.23622047244094491" top="0.95833333333333337" bottom="0.6875" header="0.31496062992125984" footer="0.31496062992125984"/>
  <pageSetup paperSize="9" orientation="portrait" r:id="rId1"/>
  <headerFooter>
    <oddHeader>&amp;L&amp;G&amp;C                                                                                                                          &amp;R  ØKONOMI</oddHeader>
    <oddFooter>&amp;L 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2021-06-22T11:09:21Z</dcterms:created>
  <dcterms:modified xsi:type="dcterms:W3CDTF">2021-06-22T11:09:42Z</dcterms:modified>
</cp:coreProperties>
</file>